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\Programming\projects\centralbankwatch\centralbankwatch\documentation\"/>
    </mc:Choice>
  </mc:AlternateContent>
  <xr:revisionPtr revIDLastSave="0" documentId="13_ncr:1_{AE4ADB2C-B809-4879-8DE9-97D798C0C9ED}" xr6:coauthVersionLast="47" xr6:coauthVersionMax="47" xr10:uidLastSave="{00000000-0000-0000-0000-000000000000}"/>
  <bookViews>
    <workbookView xWindow="5550" yWindow="1310" windowWidth="29660" windowHeight="18220" xr2:uid="{B61219CD-F54A-45EB-8E03-9C3E98F56EF9}"/>
  </bookViews>
  <sheets>
    <sheet name="ReadMe" sheetId="6" r:id="rId1"/>
    <sheet name="Data_Input" sheetId="1" r:id="rId2"/>
    <sheet name="Model_Calculations" sheetId="3" r:id="rId3"/>
    <sheet name="Full_Yield_Curve" sheetId="4" r:id="rId4"/>
  </sheets>
  <definedNames>
    <definedName name="NSS_Beta0">Model_Calculations!$F$6</definedName>
    <definedName name="NSS_Beta1">Model_Calculations!$F$7</definedName>
    <definedName name="NSS_Beta2">Model_Calculations!$F$8</definedName>
    <definedName name="NSS_Beta3">Model_Calculations!$F$9</definedName>
    <definedName name="NSS_Lambda0">Model_Calculations!$F$10</definedName>
    <definedName name="NSS_Lambda1">Model_Calculations!$F$11</definedName>
    <definedName name="solver_adj" localSheetId="2" hidden="1">Model_Calculations!$F$6:$F$11</definedName>
    <definedName name="solver_cvg" localSheetId="2" hidden="1">"""""""0,0001"""""""</definedName>
    <definedName name="solver_drv" localSheetId="2" hidden="1">2</definedName>
    <definedName name="solver_eng" localSheetId="2" hidden="1">1</definedName>
    <definedName name="solver_eng" localSheetId="0" hidden="1">1</definedName>
    <definedName name="solver_est" localSheetId="2" hidden="1">1</definedName>
    <definedName name="solver_itr" localSheetId="2" hidden="1">2147483647</definedName>
    <definedName name="solver_mip" localSheetId="2" hidden="1">2147483647</definedName>
    <definedName name="solver_mni" localSheetId="2" hidden="1">30</definedName>
    <definedName name="solver_mrt" localSheetId="2" hidden="1">"""""""0,075"""""""</definedName>
    <definedName name="solver_msl" localSheetId="2" hidden="1">2</definedName>
    <definedName name="solver_neg" localSheetId="2" hidden="1">1</definedName>
    <definedName name="solver_neg" localSheetId="0" hidden="1">1</definedName>
    <definedName name="solver_nod" localSheetId="2" hidden="1">2147483647</definedName>
    <definedName name="solver_num" localSheetId="2" hidden="1">0</definedName>
    <definedName name="solver_num" localSheetId="0" hidden="1">0</definedName>
    <definedName name="solver_nwt" localSheetId="2" hidden="1">1</definedName>
    <definedName name="solver_opt" localSheetId="2" hidden="1">Model_Calculations!$L$30</definedName>
    <definedName name="solver_opt" localSheetId="0" hidden="1">ReadMe!$D$16</definedName>
    <definedName name="solver_pre" localSheetId="2" hidden="1">"""""""0,000001"""""""</definedName>
    <definedName name="solver_rbv" localSheetId="2" hidden="1">2</definedName>
    <definedName name="solver_rlx" localSheetId="2" hidden="1">2</definedName>
    <definedName name="solver_rsd" localSheetId="2" hidden="1">0</definedName>
    <definedName name="solver_scl" localSheetId="2" hidden="1">2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1</definedName>
    <definedName name="solver_typ" localSheetId="2" hidden="1">3</definedName>
    <definedName name="solver_typ" localSheetId="0" hidden="1">1</definedName>
    <definedName name="solver_val" localSheetId="2" hidden="1">0</definedName>
    <definedName name="solver_val" localSheetId="0" hidden="1">0</definedName>
    <definedName name="solver_ver" localSheetId="2" hidden="1">3</definedName>
    <definedName name="solver_ver" localSheetId="0" hidden="1">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4" l="1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D9" i="4"/>
  <c r="D7" i="4" a="1"/>
  <c r="D7" i="4" s="1"/>
  <c r="D8" i="4" a="1"/>
  <c r="D8" i="4" s="1"/>
  <c r="D10" i="4" a="1"/>
  <c r="D10" i="4" s="1"/>
  <c r="D11" i="4" a="1"/>
  <c r="D11" i="4" s="1"/>
  <c r="F10" i="4" s="1"/>
  <c r="D12" i="4" a="1"/>
  <c r="D12" i="4" s="1"/>
  <c r="D13" i="4" a="1"/>
  <c r="D13" i="4" s="1"/>
  <c r="D14" i="4" a="1"/>
  <c r="D14" i="4" s="1"/>
  <c r="F13" i="4" s="1"/>
  <c r="D15" i="4" a="1"/>
  <c r="D15" i="4" s="1"/>
  <c r="D16" i="4" a="1"/>
  <c r="D16" i="4" s="1"/>
  <c r="D17" i="4" a="1"/>
  <c r="D17" i="4" s="1"/>
  <c r="D18" i="4" a="1"/>
  <c r="D18" i="4" s="1"/>
  <c r="D19" i="4" a="1"/>
  <c r="D19" i="4" s="1"/>
  <c r="D20" i="4" a="1"/>
  <c r="D20" i="4" s="1"/>
  <c r="D21" i="4" a="1"/>
  <c r="D21" i="4" s="1"/>
  <c r="D22" i="4" a="1"/>
  <c r="D22" i="4" s="1"/>
  <c r="D23" i="4" a="1"/>
  <c r="D23" i="4" s="1"/>
  <c r="D24" i="4" a="1"/>
  <c r="D24" i="4" s="1"/>
  <c r="D25" i="4" a="1"/>
  <c r="D25" i="4" s="1"/>
  <c r="D26" i="4" a="1"/>
  <c r="D26" i="4" s="1"/>
  <c r="D27" i="4" a="1"/>
  <c r="D27" i="4" s="1"/>
  <c r="D28" i="4" a="1"/>
  <c r="D28" i="4" s="1"/>
  <c r="D29" i="4" a="1"/>
  <c r="D29" i="4" s="1"/>
  <c r="D18" i="3"/>
  <c r="D19" i="3"/>
  <c r="D20" i="3"/>
  <c r="D21" i="3"/>
  <c r="D22" i="3"/>
  <c r="D23" i="3"/>
  <c r="D24" i="3"/>
  <c r="D25" i="3"/>
  <c r="D26" i="3"/>
  <c r="D27" i="3"/>
  <c r="D28" i="3"/>
  <c r="C28" i="3"/>
  <c r="C27" i="3"/>
  <c r="C26" i="3"/>
  <c r="C25" i="3"/>
  <c r="C24" i="3"/>
  <c r="C23" i="3"/>
  <c r="C22" i="3"/>
  <c r="C21" i="3"/>
  <c r="C20" i="3"/>
  <c r="C19" i="3"/>
  <c r="C18" i="3"/>
  <c r="E18" i="3" s="1"/>
  <c r="F18" i="3" s="1"/>
  <c r="L19" i="3"/>
  <c r="L20" i="3"/>
  <c r="L21" i="3"/>
  <c r="L22" i="3"/>
  <c r="L23" i="3"/>
  <c r="L24" i="3"/>
  <c r="L25" i="3"/>
  <c r="L26" i="3"/>
  <c r="L27" i="3"/>
  <c r="L28" i="3"/>
  <c r="D6" i="4" a="1"/>
  <c r="D6" i="4" s="1"/>
  <c r="L18" i="3"/>
  <c r="F6" i="4" l="1"/>
  <c r="F29" i="4"/>
  <c r="E29" i="4"/>
  <c r="F28" i="4"/>
  <c r="E17" i="4"/>
  <c r="F16" i="4"/>
  <c r="F15" i="4"/>
  <c r="F14" i="4"/>
  <c r="E15" i="4"/>
  <c r="E16" i="4"/>
  <c r="E7" i="4"/>
  <c r="F27" i="4"/>
  <c r="E19" i="4"/>
  <c r="F18" i="4"/>
  <c r="E18" i="4"/>
  <c r="F17" i="4"/>
  <c r="E21" i="4"/>
  <c r="F20" i="4"/>
  <c r="E20" i="4"/>
  <c r="F19" i="4"/>
  <c r="E23" i="4"/>
  <c r="F22" i="4"/>
  <c r="E22" i="4"/>
  <c r="F21" i="4"/>
  <c r="E24" i="4"/>
  <c r="F23" i="4"/>
  <c r="E25" i="4"/>
  <c r="F24" i="4"/>
  <c r="E26" i="4"/>
  <c r="F25" i="4"/>
  <c r="E28" i="4"/>
  <c r="E27" i="4"/>
  <c r="F26" i="4"/>
  <c r="F7" i="4"/>
  <c r="E9" i="4"/>
  <c r="F8" i="4"/>
  <c r="E8" i="4"/>
  <c r="F9" i="4"/>
  <c r="E11" i="4"/>
  <c r="E10" i="4"/>
  <c r="F11" i="4"/>
  <c r="E12" i="4"/>
  <c r="F12" i="4"/>
  <c r="E14" i="4"/>
  <c r="E13" i="4"/>
  <c r="E27" i="3"/>
  <c r="F27" i="3" s="1"/>
  <c r="G27" i="3" a="1"/>
  <c r="G27" i="3" s="1"/>
  <c r="E26" i="3"/>
  <c r="F26" i="3" s="1"/>
  <c r="G26" i="3" a="1"/>
  <c r="G26" i="3" s="1"/>
  <c r="E25" i="3"/>
  <c r="F25" i="3" s="1"/>
  <c r="G25" i="3" a="1"/>
  <c r="G25" i="3" s="1"/>
  <c r="E24" i="3"/>
  <c r="F24" i="3" s="1"/>
  <c r="G24" i="3" a="1"/>
  <c r="G24" i="3" s="1"/>
  <c r="E23" i="3"/>
  <c r="F23" i="3" s="1"/>
  <c r="G23" i="3" a="1"/>
  <c r="G23" i="3" s="1"/>
  <c r="E22" i="3"/>
  <c r="F22" i="3" s="1"/>
  <c r="G22" i="3" a="1"/>
  <c r="G22" i="3" s="1"/>
  <c r="E21" i="3"/>
  <c r="F21" i="3" s="1"/>
  <c r="G21" i="3" a="1"/>
  <c r="G21" i="3" s="1"/>
  <c r="E20" i="3"/>
  <c r="F20" i="3" s="1"/>
  <c r="G20" i="3" a="1"/>
  <c r="G20" i="3" s="1"/>
  <c r="E28" i="3"/>
  <c r="G28" i="3" a="1"/>
  <c r="G28" i="3" s="1"/>
  <c r="E19" i="3"/>
  <c r="G19" i="3" a="1"/>
  <c r="G19" i="3" s="1"/>
  <c r="G18" i="3" a="1"/>
  <c r="G18" i="3" s="1"/>
  <c r="H18" i="3" s="1" a="1"/>
  <c r="H18" i="3" s="1"/>
  <c r="E6" i="4"/>
  <c r="H27" i="3" l="1" a="1"/>
  <c r="H27" i="3" s="1"/>
  <c r="H26" i="3" a="1"/>
  <c r="H26" i="3" s="1"/>
  <c r="I26" i="3" s="1"/>
  <c r="H21" i="3" a="1"/>
  <c r="H21" i="3" s="1"/>
  <c r="J21" i="3" s="1"/>
  <c r="H25" i="3" a="1"/>
  <c r="H25" i="3" s="1"/>
  <c r="H24" i="3" a="1"/>
  <c r="H24" i="3" s="1"/>
  <c r="H23" i="3" a="1"/>
  <c r="H23" i="3" s="1"/>
  <c r="H22" i="3" a="1"/>
  <c r="H22" i="3" s="1"/>
  <c r="H20" i="3" a="1"/>
  <c r="H20" i="3" s="1"/>
  <c r="F28" i="3"/>
  <c r="H28" i="3" s="1" a="1"/>
  <c r="H28" i="3" s="1"/>
  <c r="F19" i="3"/>
  <c r="H19" i="3" s="1" a="1"/>
  <c r="H19" i="3" s="1"/>
  <c r="I18" i="3"/>
  <c r="K18" i="3"/>
  <c r="J18" i="3"/>
  <c r="L33" i="3" l="1"/>
  <c r="I27" i="3"/>
  <c r="K27" i="3"/>
  <c r="J27" i="3"/>
  <c r="K26" i="3"/>
  <c r="J26" i="3"/>
  <c r="K21" i="3"/>
  <c r="I21" i="3"/>
  <c r="J25" i="3"/>
  <c r="K25" i="3"/>
  <c r="I25" i="3"/>
  <c r="K24" i="3"/>
  <c r="J24" i="3"/>
  <c r="I24" i="3"/>
  <c r="J23" i="3"/>
  <c r="K23" i="3"/>
  <c r="I23" i="3"/>
  <c r="K22" i="3"/>
  <c r="J22" i="3"/>
  <c r="I22" i="3"/>
  <c r="K20" i="3"/>
  <c r="I20" i="3"/>
  <c r="J20" i="3"/>
  <c r="K28" i="3"/>
  <c r="J28" i="3"/>
  <c r="I28" i="3"/>
  <c r="K19" i="3"/>
  <c r="J19" i="3"/>
  <c r="I19" i="3"/>
  <c r="L32" i="3" l="1"/>
  <c r="L30" i="3"/>
  <c r="L31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<sst xmlns="http://schemas.openxmlformats.org/spreadsheetml/2006/main" count="86" uniqueCount="82">
  <si>
    <t>Maturity_Years</t>
  </si>
  <si>
    <t>Market_Yield_Percent</t>
  </si>
  <si>
    <t>Data_Available</t>
  </si>
  <si>
    <t>Notes</t>
  </si>
  <si>
    <t>3M Treasury</t>
  </si>
  <si>
    <t>6M Treasury</t>
  </si>
  <si>
    <t>1Y Treasury</t>
  </si>
  <si>
    <t>2Y Treasury</t>
  </si>
  <si>
    <t>Interpolated</t>
  </si>
  <si>
    <t>5Y Treasury</t>
  </si>
  <si>
    <t>10Y Treasury</t>
  </si>
  <si>
    <t>30Y Treasury</t>
  </si>
  <si>
    <t>Parameter</t>
  </si>
  <si>
    <t>Symbol</t>
  </si>
  <si>
    <t>Initial_Value</t>
  </si>
  <si>
    <t>Optimized_Value</t>
  </si>
  <si>
    <t>Lower_Bound</t>
  </si>
  <si>
    <t>Upper_Bound</t>
  </si>
  <si>
    <t>Description</t>
  </si>
  <si>
    <t>Beta_0</t>
  </si>
  <si>
    <t>Long-term level (asymptotic yield)</t>
  </si>
  <si>
    <t>Beta_1</t>
  </si>
  <si>
    <t>Short-term component (slope factor)</t>
  </si>
  <si>
    <t>Beta_2</t>
  </si>
  <si>
    <t>Medium-term component (curvature factor)</t>
  </si>
  <si>
    <t>Beta_3</t>
  </si>
  <si>
    <t>Second hump component (additional curvature)</t>
  </si>
  <si>
    <t>Lambda_0</t>
  </si>
  <si>
    <t>Medium-term decay rate</t>
  </si>
  <si>
    <t>Lambda_1</t>
  </si>
  <si>
    <t>Long-term decay rate</t>
  </si>
  <si>
    <t>Maturity</t>
  </si>
  <si>
    <t>Term1</t>
  </si>
  <si>
    <t>Term2</t>
  </si>
  <si>
    <t>Term3</t>
  </si>
  <si>
    <t>Term4</t>
  </si>
  <si>
    <t>NSS_Fitted</t>
  </si>
  <si>
    <t>Residual</t>
  </si>
  <si>
    <t>Abs_Error</t>
  </si>
  <si>
    <t>Weight</t>
  </si>
  <si>
    <t>Weighted sum of residuals - Solver objective:</t>
  </si>
  <si>
    <t>RMSE:</t>
  </si>
  <si>
    <t>MAE:</t>
  </si>
  <si>
    <t>R squared:</t>
  </si>
  <si>
    <t>NSS_Yield_Percent</t>
  </si>
  <si>
    <t>Forward_Rate</t>
  </si>
  <si>
    <t>Curve_Shape</t>
  </si>
  <si>
    <t>Quality_Flag</t>
  </si>
  <si>
    <t>Market Yield</t>
  </si>
  <si>
    <t>Enter market yield data in sheet Data_Input.</t>
  </si>
  <si>
    <t>Do not leave rows empty in between as this will impact the fitting process!</t>
  </si>
  <si>
    <t>Optimizer</t>
  </si>
  <si>
    <t>Model Parameters</t>
  </si>
  <si>
    <t>Data Entry</t>
  </si>
  <si>
    <r>
      <t>ß</t>
    </r>
    <r>
      <rPr>
        <vertAlign val="subscript"/>
        <sz val="12"/>
        <color theme="1"/>
        <rFont val="Aptos Display"/>
        <scheme val="major"/>
      </rPr>
      <t>0</t>
    </r>
  </si>
  <si>
    <r>
      <t>ß</t>
    </r>
    <r>
      <rPr>
        <vertAlign val="subscript"/>
        <sz val="12"/>
        <color theme="1"/>
        <rFont val="Aptos Display"/>
        <scheme val="major"/>
      </rPr>
      <t>1</t>
    </r>
  </si>
  <si>
    <r>
      <t>ß</t>
    </r>
    <r>
      <rPr>
        <vertAlign val="subscript"/>
        <sz val="12"/>
        <color theme="1"/>
        <rFont val="Aptos Display"/>
        <scheme val="major"/>
      </rPr>
      <t>2</t>
    </r>
  </si>
  <si>
    <r>
      <t>ß</t>
    </r>
    <r>
      <rPr>
        <vertAlign val="subscript"/>
        <sz val="12"/>
        <color theme="1"/>
        <rFont val="Aptos Display"/>
        <scheme val="major"/>
      </rPr>
      <t>3</t>
    </r>
  </si>
  <si>
    <r>
      <t>λ</t>
    </r>
    <r>
      <rPr>
        <vertAlign val="subscript"/>
        <sz val="12"/>
        <color theme="1"/>
        <rFont val="Aptos Display"/>
        <scheme val="major"/>
      </rPr>
      <t>0</t>
    </r>
  </si>
  <si>
    <r>
      <t>λ</t>
    </r>
    <r>
      <rPr>
        <vertAlign val="subscript"/>
        <sz val="12"/>
        <color theme="1"/>
        <rFont val="Aptos Display"/>
        <scheme val="major"/>
      </rPr>
      <t>1</t>
    </r>
  </si>
  <si>
    <t>Your will find the solver in menu Data on the far right.</t>
  </si>
  <si>
    <t>If it is not shown there, you need to install it first:</t>
  </si>
  <si>
    <t>Got to menu Developer, choose Excel Add-ins, mark the Solver and click on ok. Then you should see it Data.</t>
  </si>
  <si>
    <t>Go to sheet Model_Calculations and use the solver to find the optimal values.</t>
  </si>
  <si>
    <t>In the solver, choose</t>
  </si>
  <si>
    <t>$L$30</t>
  </si>
  <si>
    <t>(Weighted sum of residuals - Solver objective)</t>
  </si>
  <si>
    <t>How to use this sheet:</t>
  </si>
  <si>
    <t>$F$6:$F$11</t>
  </si>
  <si>
    <t>Set "by changing variable cells":</t>
  </si>
  <si>
    <t>Set "objective function":</t>
  </si>
  <si>
    <t>(Optimized_Value)</t>
  </si>
  <si>
    <t>Below, choose "To value of" and insert 0.</t>
  </si>
  <si>
    <t>Then click on "Solve"</t>
  </si>
  <si>
    <t>You should get optimiyed values which should (ideally) neatly fir your market data.</t>
  </si>
  <si>
    <t>Full yield curve estimate based on NSS parameters</t>
  </si>
  <si>
    <t>If you have less than 12 data points, you need to delete empty rows with no input data in the Optimizer on</t>
  </si>
  <si>
    <t>sheet Model_Calculations for the procedure to work properly.</t>
  </si>
  <si>
    <t>In the charts below, you can see the original market yields used as input and the estimated yields based on the</t>
  </si>
  <si>
    <t>NSS model fitted on these data.</t>
  </si>
  <si>
    <t>On the following sheet Full_Yield_Curve, you will obtain yields for all maturities based on the NSS parameters</t>
  </si>
  <si>
    <t>estimated.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</si>
</sst>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theme="1"/>
      <name val="Aptos Display"/>
      <scheme val="major"/>
    </font>
    <font>
      <b/>
      <sz val="12"/>
      <color theme="1"/>
      <name val="Aptos Display"/>
      <scheme val="major"/>
    </font>
    <font>
      <sz val="12"/>
      <color theme="1"/>
      <name val="Aptos Display"/>
      <scheme val="major"/>
    </font>
    <font>
      <vertAlign val="subscript"/>
      <sz val="12"/>
      <color theme="1"/>
      <name val="Aptos Display"/>
      <scheme val="major"/>
    </font>
    <font>
      <b/>
      <sz val="11"/>
      <color rgb="FFFA7D00"/>
      <name val="Aptos Display"/>
      <scheme val="major"/>
    </font>
    <font>
      <b/>
      <sz val="14"/>
      <color theme="1"/>
      <name val="Aptos Display"/>
      <scheme val="major"/>
    </font>
    <font>
      <b/>
      <sz val="12"/>
      <name val="Aptos Display"/>
      <scheme val="major"/>
    </font>
    <font>
      <sz val="12"/>
      <name val="Aptos Display"/>
      <scheme val="major"/>
    </font>
    <font>
      <b/>
      <sz val="10"/>
      <color theme="1"/>
      <name val="Aptos Display"/>
      <scheme val="major"/>
    </font>
    <font>
      <sz val="11"/>
      <color rgb="FF3F3F76"/>
      <name val="Aptos Display"/>
      <scheme val="major"/>
    </font>
    <font>
      <sz val="10"/>
      <color theme="1"/>
      <name val="Aptos Display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</borders>
  <cellStyleXfs count="7">
    <xf numFmtId="0" fontId="0" fillId="0" borderId="0"/>
    <xf numFmtId="0" fontId="2" fillId="2" borderId="2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115">
    <xf numFmtId="0" fontId="0" fillId="0" borderId="0" xfId="0"/>
    <xf numFmtId="0" fontId="4" fillId="0" borderId="0" xfId="0" applyFont="1"/>
    <xf numFmtId="0" fontId="4" fillId="4" borderId="13" xfId="3" applyFont="1" applyBorder="1"/>
    <xf numFmtId="0" fontId="4" fillId="4" borderId="14" xfId="3" applyFont="1" applyBorder="1"/>
    <xf numFmtId="0" fontId="4" fillId="4" borderId="15" xfId="3" applyFont="1" applyBorder="1"/>
    <xf numFmtId="0" fontId="4" fillId="4" borderId="16" xfId="3" applyFont="1" applyBorder="1"/>
    <xf numFmtId="0" fontId="4" fillId="4" borderId="0" xfId="3" applyFont="1" applyBorder="1"/>
    <xf numFmtId="0" fontId="4" fillId="4" borderId="17" xfId="3" applyFont="1" applyBorder="1"/>
    <xf numFmtId="0" fontId="5" fillId="10" borderId="21" xfId="0" applyFont="1" applyFill="1" applyBorder="1" applyAlignment="1">
      <alignment horizontal="center"/>
    </xf>
    <xf numFmtId="0" fontId="5" fillId="10" borderId="22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5" fillId="10" borderId="22" xfId="0" applyFont="1" applyFill="1" applyBorder="1" applyAlignment="1"/>
    <xf numFmtId="0" fontId="5" fillId="10" borderId="23" xfId="0" applyFont="1" applyFill="1" applyBorder="1" applyAlignment="1"/>
    <xf numFmtId="0" fontId="6" fillId="0" borderId="9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8" fillId="3" borderId="2" xfId="2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8" fillId="3" borderId="24" xfId="2" applyFont="1" applyBorder="1"/>
    <xf numFmtId="0" fontId="6" fillId="0" borderId="12" xfId="0" applyFont="1" applyBorder="1"/>
    <xf numFmtId="0" fontId="4" fillId="4" borderId="18" xfId="3" applyFont="1" applyBorder="1"/>
    <xf numFmtId="0" fontId="4" fillId="4" borderId="19" xfId="3" applyFont="1" applyBorder="1"/>
    <xf numFmtId="0" fontId="4" fillId="4" borderId="19" xfId="3" applyFont="1" applyBorder="1" applyAlignment="1">
      <alignment horizontal="center"/>
    </xf>
    <xf numFmtId="0" fontId="4" fillId="4" borderId="20" xfId="3" applyFont="1" applyBorder="1"/>
    <xf numFmtId="0" fontId="6" fillId="0" borderId="0" xfId="0" applyFont="1"/>
    <xf numFmtId="0" fontId="4" fillId="5" borderId="13" xfId="4" applyFont="1" applyBorder="1"/>
    <xf numFmtId="0" fontId="4" fillId="5" borderId="14" xfId="4" applyFont="1" applyBorder="1"/>
    <xf numFmtId="0" fontId="4" fillId="5" borderId="15" xfId="4" applyFont="1" applyBorder="1"/>
    <xf numFmtId="0" fontId="4" fillId="5" borderId="16" xfId="4" applyFont="1" applyBorder="1"/>
    <xf numFmtId="0" fontId="9" fillId="5" borderId="0" xfId="4" applyFont="1" applyBorder="1"/>
    <xf numFmtId="0" fontId="4" fillId="5" borderId="0" xfId="4" applyFont="1" applyBorder="1"/>
    <xf numFmtId="0" fontId="4" fillId="5" borderId="17" xfId="4" applyFont="1" applyBorder="1"/>
    <xf numFmtId="0" fontId="5" fillId="10" borderId="21" xfId="0" applyFont="1" applyFill="1" applyBorder="1" applyAlignment="1">
      <alignment horizontal="center" wrapText="1"/>
    </xf>
    <xf numFmtId="0" fontId="10" fillId="9" borderId="3" xfId="0" applyFont="1" applyFill="1" applyBorder="1" applyAlignment="1">
      <alignment horizontal="center" wrapText="1"/>
    </xf>
    <xf numFmtId="0" fontId="5" fillId="10" borderId="22" xfId="0" applyFont="1" applyFill="1" applyBorder="1" applyAlignment="1">
      <alignment horizontal="center" wrapText="1"/>
    </xf>
    <xf numFmtId="0" fontId="5" fillId="8" borderId="3" xfId="0" applyFont="1" applyFill="1" applyBorder="1" applyAlignment="1">
      <alignment horizontal="center" wrapText="1"/>
    </xf>
    <xf numFmtId="0" fontId="5" fillId="10" borderId="23" xfId="0" applyFont="1" applyFill="1" applyBorder="1" applyAlignment="1">
      <alignment horizontal="center" wrapText="1"/>
    </xf>
    <xf numFmtId="0" fontId="6" fillId="0" borderId="9" xfId="0" applyFont="1" applyBorder="1" applyAlignment="1">
      <alignment horizontal="right" wrapText="1"/>
    </xf>
    <xf numFmtId="0" fontId="11" fillId="9" borderId="4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0" fontId="6" fillId="8" borderId="4" xfId="0" applyFont="1" applyFill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6" fillId="0" borderId="11" xfId="0" applyFont="1" applyBorder="1" applyAlignment="1">
      <alignment horizontal="right" wrapText="1"/>
    </xf>
    <xf numFmtId="0" fontId="11" fillId="9" borderId="5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 wrapText="1"/>
    </xf>
    <xf numFmtId="0" fontId="6" fillId="8" borderId="5" xfId="0" applyFont="1" applyFill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4" xfId="0" applyFont="1" applyBorder="1" applyAlignment="1">
      <alignment horizontal="right" vertical="center"/>
    </xf>
    <xf numFmtId="0" fontId="4" fillId="6" borderId="15" xfId="5" applyFont="1" applyBorder="1"/>
    <xf numFmtId="0" fontId="6" fillId="0" borderId="16" xfId="0" applyFont="1" applyBorder="1"/>
    <xf numFmtId="0" fontId="6" fillId="0" borderId="0" xfId="0" applyFont="1" applyBorder="1" applyAlignment="1">
      <alignment wrapText="1"/>
    </xf>
    <xf numFmtId="0" fontId="6" fillId="0" borderId="17" xfId="0" applyFont="1" applyBorder="1"/>
    <xf numFmtId="0" fontId="6" fillId="0" borderId="18" xfId="0" applyFont="1" applyBorder="1"/>
    <xf numFmtId="0" fontId="6" fillId="0" borderId="19" xfId="0" applyFont="1" applyBorder="1" applyAlignment="1">
      <alignment wrapText="1"/>
    </xf>
    <xf numFmtId="0" fontId="6" fillId="0" borderId="20" xfId="0" applyFont="1" applyBorder="1"/>
    <xf numFmtId="0" fontId="4" fillId="5" borderId="18" xfId="4" applyFont="1" applyBorder="1"/>
    <xf numFmtId="0" fontId="4" fillId="5" borderId="19" xfId="4" applyFont="1" applyBorder="1"/>
    <xf numFmtId="0" fontId="4" fillId="5" borderId="20" xfId="4" applyFont="1" applyBorder="1"/>
    <xf numFmtId="0" fontId="9" fillId="4" borderId="0" xfId="3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0" xfId="0" applyFont="1" applyBorder="1"/>
    <xf numFmtId="0" fontId="4" fillId="0" borderId="17" xfId="0" applyFont="1" applyBorder="1"/>
    <xf numFmtId="0" fontId="12" fillId="0" borderId="1" xfId="0" applyFont="1" applyBorder="1" applyAlignment="1">
      <alignment horizontal="center" wrapText="1"/>
    </xf>
    <xf numFmtId="0" fontId="13" fillId="2" borderId="2" xfId="1" applyFont="1" applyBorder="1"/>
    <xf numFmtId="0" fontId="13" fillId="2" borderId="2" xfId="1" applyFont="1" applyBorder="1" applyAlignment="1">
      <alignment horizontal="right" wrapText="1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9" fillId="0" borderId="0" xfId="0" applyFont="1" applyBorder="1"/>
    <xf numFmtId="0" fontId="6" fillId="0" borderId="19" xfId="0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" xfId="0" applyFont="1" applyBorder="1"/>
    <xf numFmtId="0" fontId="4" fillId="0" borderId="12" xfId="0" applyFont="1" applyBorder="1"/>
    <xf numFmtId="0" fontId="14" fillId="10" borderId="21" xfId="0" applyFont="1" applyFill="1" applyBorder="1" applyAlignment="1">
      <alignment horizontal="center" wrapText="1"/>
    </xf>
    <xf numFmtId="0" fontId="14" fillId="10" borderId="22" xfId="0" applyFont="1" applyFill="1" applyBorder="1" applyAlignment="1">
      <alignment horizontal="center" wrapText="1"/>
    </xf>
    <xf numFmtId="0" fontId="14" fillId="10" borderId="23" xfId="0" applyFont="1" applyFill="1" applyBorder="1" applyAlignment="1">
      <alignment horizontal="center" wrapText="1"/>
    </xf>
    <xf numFmtId="0" fontId="1" fillId="7" borderId="13" xfId="6" applyBorder="1"/>
    <xf numFmtId="0" fontId="1" fillId="7" borderId="14" xfId="6" applyBorder="1"/>
    <xf numFmtId="0" fontId="1" fillId="7" borderId="15" xfId="6" applyBorder="1"/>
    <xf numFmtId="0" fontId="1" fillId="7" borderId="16" xfId="6" applyBorder="1"/>
    <xf numFmtId="0" fontId="1" fillId="7" borderId="0" xfId="6" applyBorder="1"/>
    <xf numFmtId="0" fontId="1" fillId="7" borderId="17" xfId="6" applyBorder="1"/>
    <xf numFmtId="0" fontId="1" fillId="7" borderId="20" xfId="6" applyBorder="1"/>
    <xf numFmtId="0" fontId="1" fillId="7" borderId="18" xfId="6" applyBorder="1"/>
    <xf numFmtId="0" fontId="1" fillId="7" borderId="19" xfId="6" applyBorder="1"/>
    <xf numFmtId="0" fontId="9" fillId="7" borderId="0" xfId="6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7" borderId="13" xfId="6" applyFont="1" applyBorder="1"/>
    <xf numFmtId="0" fontId="4" fillId="7" borderId="14" xfId="6" applyFont="1" applyBorder="1"/>
    <xf numFmtId="0" fontId="4" fillId="7" borderId="15" xfId="6" applyFont="1" applyBorder="1"/>
    <xf numFmtId="0" fontId="4" fillId="7" borderId="16" xfId="6" applyFont="1" applyBorder="1"/>
    <xf numFmtId="0" fontId="4" fillId="7" borderId="0" xfId="6" applyFont="1" applyBorder="1"/>
    <xf numFmtId="0" fontId="4" fillId="7" borderId="17" xfId="6" applyFont="1" applyBorder="1"/>
    <xf numFmtId="0" fontId="4" fillId="7" borderId="18" xfId="6" applyFont="1" applyBorder="1"/>
    <xf numFmtId="0" fontId="4" fillId="7" borderId="19" xfId="6" applyFont="1" applyBorder="1"/>
    <xf numFmtId="0" fontId="4" fillId="7" borderId="20" xfId="6" applyFont="1" applyBorder="1"/>
  </cellXfs>
  <cellStyles count="7">
    <cellStyle name="20% - Accent2" xfId="3" builtinId="34"/>
    <cellStyle name="20% - Accent6" xfId="6" builtinId="50"/>
    <cellStyle name="40% - Accent2" xfId="4" builtinId="35"/>
    <cellStyle name="60% - Accent5" xfId="5" builtinId="48"/>
    <cellStyle name="Calculation" xfId="2" builtinId="22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Fitting Error (Absolute Error) by Maturity</a:t>
            </a:r>
          </a:p>
        </c:rich>
      </c:tx>
      <c:layout>
        <c:manualLayout>
          <c:xMode val="edge"/>
          <c:yMode val="edge"/>
          <c:x val="0.21860411198600171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Model_Calculations!$C$18:$C$28</c:f>
              <c:numCache>
                <c:formatCode>General</c:formatCode>
                <c:ptCount val="11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7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  <c:pt idx="10">
                  <c:v>30</c:v>
                </c:pt>
              </c:numCache>
            </c:numRef>
          </c:cat>
          <c:val>
            <c:numRef>
              <c:f>Model_Calculations!$K$18:$K$28</c:f>
              <c:numCache>
                <c:formatCode>General</c:formatCode>
                <c:ptCount val="11"/>
                <c:pt idx="0">
                  <c:v>3.9111972399460959E-5</c:v>
                </c:pt>
                <c:pt idx="1">
                  <c:v>6.3405020408194984E-5</c:v>
                </c:pt>
                <c:pt idx="2">
                  <c:v>9.8366672006234418E-5</c:v>
                </c:pt>
                <c:pt idx="3">
                  <c:v>1.2490563447670536E-4</c:v>
                </c:pt>
                <c:pt idx="4">
                  <c:v>1.2421766221805755E-4</c:v>
                </c:pt>
                <c:pt idx="5">
                  <c:v>1.7271800760865902E-4</c:v>
                </c:pt>
                <c:pt idx="6">
                  <c:v>4.5111057027105717E-5</c:v>
                </c:pt>
                <c:pt idx="7">
                  <c:v>2.7691114821917079E-4</c:v>
                </c:pt>
                <c:pt idx="8">
                  <c:v>1.6729337056888699E-4</c:v>
                </c:pt>
                <c:pt idx="9">
                  <c:v>3.2925988496747965E-4</c:v>
                </c:pt>
                <c:pt idx="10">
                  <c:v>1.0799358414796678E-4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AE-4C1B-ABBD-FB69D6229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0726496"/>
        <c:axId val="800724576"/>
      </c:barChart>
      <c:catAx>
        <c:axId val="800726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Maturity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800724576"/>
        <c:crosses val="autoZero"/>
        <c:auto val="1"/>
        <c:lblAlgn val="ctr"/>
        <c:lblOffset val="100"/>
        <c:noMultiLvlLbl val="0"/>
      </c:catAx>
      <c:valAx>
        <c:axId val="80072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Residuals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800726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Nelson-Siegel-Svenson</a:t>
            </a:r>
            <a:r>
              <a:rPr lang="de-DE" baseline="0"/>
              <a:t> Yield Curve Fitted on Market Yields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Model_Calculations!$D$17</c:f>
              <c:strCache>
                <c:ptCount val="1"/>
                <c:pt idx="0">
                  <c:v>Market Yield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rgbClr val="00B0F0"/>
              </a:solidFill>
              <a:ln w="88900">
                <a:solidFill>
                  <a:schemeClr val="accent1"/>
                </a:solidFill>
              </a:ln>
              <a:effectLst/>
            </c:spPr>
          </c:marker>
          <c:xVal>
            <c:numRef>
              <c:f>Model_Calculations!$C$18:$C$28</c:f>
              <c:numCache>
                <c:formatCode>General</c:formatCode>
                <c:ptCount val="11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7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  <c:pt idx="10">
                  <c:v>30</c:v>
                </c:pt>
              </c:numCache>
            </c:numRef>
          </c:xVal>
          <c:yVal>
            <c:numRef>
              <c:f>Model_Calculations!$D$18:$D$28</c:f>
              <c:numCache>
                <c:formatCode>General</c:formatCode>
                <c:ptCount val="11"/>
                <c:pt idx="0">
                  <c:v>2.1499999999999998E-2</c:v>
                </c:pt>
                <c:pt idx="1">
                  <c:v>2.2499999999999999E-2</c:v>
                </c:pt>
                <c:pt idx="2">
                  <c:v>2.4500000000000001E-2</c:v>
                </c:pt>
                <c:pt idx="3">
                  <c:v>2.75E-2</c:v>
                </c:pt>
                <c:pt idx="4">
                  <c:v>2.9500000000000002E-2</c:v>
                </c:pt>
                <c:pt idx="5">
                  <c:v>3.2500000000000001E-2</c:v>
                </c:pt>
                <c:pt idx="6">
                  <c:v>3.4500000000000003E-2</c:v>
                </c:pt>
                <c:pt idx="7">
                  <c:v>3.6499999999999998E-2</c:v>
                </c:pt>
                <c:pt idx="8">
                  <c:v>3.7499999999999999E-2</c:v>
                </c:pt>
                <c:pt idx="9">
                  <c:v>3.7999999999999999E-2</c:v>
                </c:pt>
                <c:pt idx="10">
                  <c:v>3.85E-2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D5-40AC-9F09-8278BA420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1132016"/>
        <c:axId val="861135376"/>
      </c:scatterChart>
      <c:scatterChart>
        <c:scatterStyle val="smoothMarker"/>
        <c:varyColors val="0"/>
        <c:ser>
          <c:idx val="1"/>
          <c:order val="1"/>
          <c:tx>
            <c:strRef>
              <c:f>Model_Calculations!$I$17</c:f>
              <c:strCache>
                <c:ptCount val="1"/>
                <c:pt idx="0">
                  <c:v>NSS_Fitted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28575">
                <a:solidFill>
                  <a:srgbClr val="FFC000"/>
                </a:solidFill>
              </a:ln>
              <a:effectLst/>
            </c:spPr>
          </c:marker>
          <c:xVal>
            <c:numRef>
              <c:f>Model_Calculations!$C$18:$C$28</c:f>
              <c:numCache>
                <c:formatCode>General</c:formatCode>
                <c:ptCount val="11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7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  <c:pt idx="10">
                  <c:v>30</c:v>
                </c:pt>
              </c:numCache>
            </c:numRef>
          </c:xVal>
          <c:yVal>
            <c:numRef>
              <c:f>Model_Calculations!$I$18:$I$28</c:f>
              <c:numCache>
                <c:formatCode>General</c:formatCode>
                <c:ptCount val="11"/>
                <c:pt idx="0">
                  <c:v>2.1539111972399459E-2</c:v>
                </c:pt>
                <c:pt idx="1">
                  <c:v>2.2563405020408194E-2</c:v>
                </c:pt>
                <c:pt idx="2">
                  <c:v>2.4401633327993767E-2</c:v>
                </c:pt>
                <c:pt idx="3">
                  <c:v>2.7375094365523295E-2</c:v>
                </c:pt>
                <c:pt idx="4">
                  <c:v>2.9624217662218059E-2</c:v>
                </c:pt>
                <c:pt idx="5">
                  <c:v>3.267271800760866E-2</c:v>
                </c:pt>
                <c:pt idx="6">
                  <c:v>3.4545111057027109E-2</c:v>
                </c:pt>
                <c:pt idx="7">
                  <c:v>3.6223088851780827E-2</c:v>
                </c:pt>
                <c:pt idx="8">
                  <c:v>3.7667293370568886E-2</c:v>
                </c:pt>
                <c:pt idx="9">
                  <c:v>3.8329259884967479E-2</c:v>
                </c:pt>
                <c:pt idx="10">
                  <c:v>3.8392006415852033E-2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5D5-40AC-9F09-8278BA420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1132016"/>
        <c:axId val="861135376"/>
      </c:scatterChart>
      <c:valAx>
        <c:axId val="861132016"/>
        <c:scaling>
          <c:orientation val="minMax"/>
          <c:max val="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Maturity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861135376"/>
        <c:crosses val="autoZero"/>
        <c:crossBetween val="midCat"/>
      </c:valAx>
      <c:valAx>
        <c:axId val="8611353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E"/>
            </a:p>
          </c:txPr>
        </c:title>
        <c:numFmt formatCode="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861132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685800</xdr:colOff>
      <xdr:row>59</xdr:row>
      <xdr:rowOff>95250</xdr:rowOff>
    </xdr:from>
    <xdr:to>
      <xdr:col>11</xdr:col>
      <xdr:colOff>412750</xdr:colOff>
      <xdr:row>74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563D494-6E64-4387-72A3-00F987F6CE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698500</xdr:colOff>
      <xdr:row>34</xdr:row>
      <xdr:rowOff>152400</xdr:rowOff>
    </xdr:from>
    <xdr:to>
      <xdr:col>11</xdr:col>
      <xdr:colOff>419100</xdr:colOff>
      <xdr:row>58</xdr:row>
      <xdr:rowOff>69850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DEAEC0F-0BAE-6DB3-46C7-459E4AFE5A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617D-C285-4FE2-8BF2-DF08A7239643}">
  <dimension ref="B1:N26"/>
  <sheetViews>
    <sheetView tabSelected="1" workbookViewId="0">
      <selection activeCell="E8" sqref="E8"/>
    </sheetView>
  </sheetViews>
  <sheetFormatPr defaultRowHeight="14"/>
  <cols>
    <col min="1" max="1" width="8.6640625" style="1"/>
    <col min="2" max="2" width="1.58203125" style="1" customWidth="1"/>
    <col min="3" max="3" width="1.75" style="1" bestFit="1" customWidth="1"/>
    <col min="4" max="6" width="8.6640625" style="1"/>
    <col min="7" max="7" width="12.08203125" style="1" customWidth="1"/>
    <col min="8" max="13" width="8.6640625" style="1"/>
    <col min="14" max="14" width="1.58203125" style="1" customWidth="1"/>
    <col min="15" max="16384" width="8.6640625" style="1"/>
  </cols>
  <sheetData>
    <row r="1" spans="2:14" ht="14.5" thickBot="1"/>
    <row r="2" spans="2:14" ht="6.5" customHeight="1"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8"/>
    </row>
    <row r="3" spans="2:14" ht="18">
      <c r="B3" s="109"/>
      <c r="C3" s="110"/>
      <c r="D3" s="97" t="s">
        <v>67</v>
      </c>
      <c r="E3" s="110"/>
      <c r="F3" s="110"/>
      <c r="G3" s="110"/>
      <c r="H3" s="110"/>
      <c r="I3" s="110"/>
      <c r="J3" s="110"/>
      <c r="K3" s="110"/>
      <c r="L3" s="110"/>
      <c r="M3" s="110"/>
      <c r="N3" s="111"/>
    </row>
    <row r="4" spans="2:14">
      <c r="B4" s="109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1"/>
    </row>
    <row r="5" spans="2:14">
      <c r="B5" s="109"/>
      <c r="C5" s="103">
        <v>1</v>
      </c>
      <c r="D5" s="104" t="s">
        <v>49</v>
      </c>
      <c r="E5" s="104"/>
      <c r="F5" s="104"/>
      <c r="G5" s="104"/>
      <c r="H5" s="104"/>
      <c r="I5" s="104"/>
      <c r="J5" s="104"/>
      <c r="K5" s="104"/>
      <c r="L5" s="104"/>
      <c r="M5" s="105"/>
      <c r="N5" s="111"/>
    </row>
    <row r="6" spans="2:14">
      <c r="B6" s="109"/>
      <c r="C6" s="80"/>
      <c r="D6" s="68" t="s">
        <v>50</v>
      </c>
      <c r="E6" s="68"/>
      <c r="F6" s="68"/>
      <c r="G6" s="68"/>
      <c r="H6" s="68"/>
      <c r="I6" s="68"/>
      <c r="J6" s="68"/>
      <c r="K6" s="68"/>
      <c r="L6" s="68"/>
      <c r="M6" s="81"/>
      <c r="N6" s="111"/>
    </row>
    <row r="7" spans="2:14">
      <c r="B7" s="109"/>
      <c r="C7" s="80"/>
      <c r="D7" s="68" t="s">
        <v>76</v>
      </c>
      <c r="E7" s="68"/>
      <c r="F7" s="68"/>
      <c r="G7" s="68"/>
      <c r="H7" s="68"/>
      <c r="I7" s="68"/>
      <c r="J7" s="68"/>
      <c r="K7" s="68"/>
      <c r="L7" s="68"/>
      <c r="M7" s="81"/>
      <c r="N7" s="111"/>
    </row>
    <row r="8" spans="2:14">
      <c r="B8" s="109"/>
      <c r="C8" s="82"/>
      <c r="D8" s="83" t="s">
        <v>77</v>
      </c>
      <c r="E8" s="83"/>
      <c r="F8" s="83"/>
      <c r="G8" s="83"/>
      <c r="H8" s="83"/>
      <c r="I8" s="83"/>
      <c r="J8" s="83"/>
      <c r="K8" s="83"/>
      <c r="L8" s="83"/>
      <c r="M8" s="84"/>
      <c r="N8" s="111"/>
    </row>
    <row r="9" spans="2:14">
      <c r="B9" s="109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1"/>
    </row>
    <row r="10" spans="2:14">
      <c r="B10" s="109"/>
      <c r="C10" s="103">
        <v>2</v>
      </c>
      <c r="D10" s="104" t="s">
        <v>63</v>
      </c>
      <c r="E10" s="104"/>
      <c r="F10" s="104"/>
      <c r="G10" s="104"/>
      <c r="H10" s="104"/>
      <c r="I10" s="104"/>
      <c r="J10" s="104"/>
      <c r="K10" s="104"/>
      <c r="L10" s="104"/>
      <c r="M10" s="105"/>
      <c r="N10" s="111"/>
    </row>
    <row r="11" spans="2:14">
      <c r="B11" s="109"/>
      <c r="C11" s="80"/>
      <c r="D11" s="68" t="s">
        <v>60</v>
      </c>
      <c r="E11" s="68"/>
      <c r="F11" s="68"/>
      <c r="G11" s="68"/>
      <c r="H11" s="68"/>
      <c r="I11" s="68"/>
      <c r="J11" s="68"/>
      <c r="K11" s="68"/>
      <c r="L11" s="68"/>
      <c r="M11" s="81"/>
      <c r="N11" s="111"/>
    </row>
    <row r="12" spans="2:14">
      <c r="B12" s="109"/>
      <c r="C12" s="80"/>
      <c r="D12" s="68" t="s">
        <v>61</v>
      </c>
      <c r="E12" s="68"/>
      <c r="F12" s="68"/>
      <c r="G12" s="68"/>
      <c r="H12" s="68"/>
      <c r="I12" s="68"/>
      <c r="J12" s="68"/>
      <c r="K12" s="68"/>
      <c r="L12" s="68"/>
      <c r="M12" s="81"/>
      <c r="N12" s="111"/>
    </row>
    <row r="13" spans="2:14">
      <c r="B13" s="109"/>
      <c r="C13" s="82"/>
      <c r="D13" s="83" t="s">
        <v>62</v>
      </c>
      <c r="E13" s="83"/>
      <c r="F13" s="83"/>
      <c r="G13" s="83"/>
      <c r="H13" s="83"/>
      <c r="I13" s="83"/>
      <c r="J13" s="83"/>
      <c r="K13" s="83"/>
      <c r="L13" s="83"/>
      <c r="M13" s="84"/>
      <c r="N13" s="111"/>
    </row>
    <row r="14" spans="2:14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1"/>
    </row>
    <row r="15" spans="2:14">
      <c r="B15" s="109"/>
      <c r="C15" s="103">
        <v>3</v>
      </c>
      <c r="D15" s="104" t="s">
        <v>64</v>
      </c>
      <c r="E15" s="104"/>
      <c r="F15" s="104"/>
      <c r="G15" s="104"/>
      <c r="H15" s="104"/>
      <c r="I15" s="104"/>
      <c r="J15" s="104"/>
      <c r="K15" s="104"/>
      <c r="L15" s="104"/>
      <c r="M15" s="105"/>
      <c r="N15" s="111"/>
    </row>
    <row r="16" spans="2:14">
      <c r="B16" s="109"/>
      <c r="C16" s="80"/>
      <c r="D16" s="68" t="s">
        <v>70</v>
      </c>
      <c r="E16" s="68"/>
      <c r="F16" s="68"/>
      <c r="G16" s="102" t="s">
        <v>65</v>
      </c>
      <c r="H16" s="68" t="s">
        <v>66</v>
      </c>
      <c r="I16" s="68"/>
      <c r="J16" s="68"/>
      <c r="K16" s="68"/>
      <c r="L16" s="68"/>
      <c r="M16" s="81"/>
      <c r="N16" s="111"/>
    </row>
    <row r="17" spans="2:14">
      <c r="B17" s="109"/>
      <c r="C17" s="80"/>
      <c r="D17" s="68" t="s">
        <v>72</v>
      </c>
      <c r="E17" s="68"/>
      <c r="F17" s="68"/>
      <c r="G17" s="102"/>
      <c r="H17" s="68"/>
      <c r="I17" s="68"/>
      <c r="J17" s="68"/>
      <c r="K17" s="68"/>
      <c r="L17" s="68"/>
      <c r="M17" s="81"/>
      <c r="N17" s="111"/>
    </row>
    <row r="18" spans="2:14">
      <c r="B18" s="109"/>
      <c r="C18" s="80"/>
      <c r="D18" s="68" t="s">
        <v>69</v>
      </c>
      <c r="E18" s="68"/>
      <c r="F18" s="68"/>
      <c r="G18" s="102" t="s">
        <v>68</v>
      </c>
      <c r="H18" s="68" t="s">
        <v>71</v>
      </c>
      <c r="I18" s="68"/>
      <c r="J18" s="68"/>
      <c r="K18" s="68"/>
      <c r="L18" s="68"/>
      <c r="M18" s="81"/>
      <c r="N18" s="111"/>
    </row>
    <row r="19" spans="2:14">
      <c r="B19" s="109"/>
      <c r="C19" s="82"/>
      <c r="D19" s="83" t="s">
        <v>73</v>
      </c>
      <c r="E19" s="83"/>
      <c r="F19" s="83"/>
      <c r="G19" s="83"/>
      <c r="H19" s="83"/>
      <c r="I19" s="83"/>
      <c r="J19" s="83"/>
      <c r="K19" s="83"/>
      <c r="L19" s="83"/>
      <c r="M19" s="84"/>
      <c r="N19" s="111"/>
    </row>
    <row r="20" spans="2:14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1"/>
    </row>
    <row r="21" spans="2:14">
      <c r="B21" s="109"/>
      <c r="C21" s="103">
        <v>4</v>
      </c>
      <c r="D21" s="104" t="s">
        <v>74</v>
      </c>
      <c r="E21" s="104"/>
      <c r="F21" s="104"/>
      <c r="G21" s="104"/>
      <c r="H21" s="104"/>
      <c r="I21" s="104"/>
      <c r="J21" s="104"/>
      <c r="K21" s="104"/>
      <c r="L21" s="104"/>
      <c r="M21" s="105"/>
      <c r="N21" s="111"/>
    </row>
    <row r="22" spans="2:14">
      <c r="B22" s="109"/>
      <c r="C22" s="80"/>
      <c r="D22" s="68" t="s">
        <v>78</v>
      </c>
      <c r="E22" s="68"/>
      <c r="F22" s="68"/>
      <c r="G22" s="68"/>
      <c r="H22" s="68"/>
      <c r="I22" s="68"/>
      <c r="J22" s="68"/>
      <c r="K22" s="68"/>
      <c r="L22" s="68"/>
      <c r="M22" s="81"/>
      <c r="N22" s="111"/>
    </row>
    <row r="23" spans="2:14">
      <c r="B23" s="109"/>
      <c r="C23" s="80"/>
      <c r="D23" s="68" t="s">
        <v>79</v>
      </c>
      <c r="E23" s="68"/>
      <c r="F23" s="68"/>
      <c r="G23" s="68"/>
      <c r="H23" s="68"/>
      <c r="I23" s="68"/>
      <c r="J23" s="68"/>
      <c r="K23" s="68"/>
      <c r="L23" s="68"/>
      <c r="M23" s="81"/>
      <c r="N23" s="111"/>
    </row>
    <row r="24" spans="2:14">
      <c r="B24" s="109"/>
      <c r="C24" s="80"/>
      <c r="D24" s="68" t="s">
        <v>80</v>
      </c>
      <c r="E24" s="68"/>
      <c r="F24" s="68"/>
      <c r="G24" s="68"/>
      <c r="H24" s="68"/>
      <c r="I24" s="68"/>
      <c r="J24" s="68"/>
      <c r="K24" s="68"/>
      <c r="L24" s="68"/>
      <c r="M24" s="81"/>
      <c r="N24" s="111"/>
    </row>
    <row r="25" spans="2:14">
      <c r="B25" s="109"/>
      <c r="C25" s="82"/>
      <c r="D25" s="83" t="s">
        <v>81</v>
      </c>
      <c r="E25" s="83"/>
      <c r="F25" s="83"/>
      <c r="G25" s="83"/>
      <c r="H25" s="83"/>
      <c r="I25" s="83"/>
      <c r="J25" s="83"/>
      <c r="K25" s="83"/>
      <c r="L25" s="83"/>
      <c r="M25" s="84"/>
      <c r="N25" s="111"/>
    </row>
    <row r="26" spans="2:14" ht="6.5" customHeight="1" thickBot="1">
      <c r="B26" s="112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74F5-4338-437E-96DA-9B1DE376E870}">
  <dimension ref="B1:G17"/>
  <sheetViews>
    <sheetView workbookViewId="0">
      <selection activeCell="C3" sqref="C3"/>
    </sheetView>
  </sheetViews>
  <sheetFormatPr defaultRowHeight="14"/>
  <cols>
    <col min="1" max="1" width="8.6640625" style="1"/>
    <col min="2" max="2" width="1.58203125" style="1" customWidth="1"/>
    <col min="3" max="3" width="17.6640625" style="1" customWidth="1"/>
    <col min="4" max="4" width="19.6640625" style="1" customWidth="1"/>
    <col min="5" max="6" width="17.6640625" style="1" customWidth="1"/>
    <col min="7" max="7" width="1.58203125" style="1" customWidth="1"/>
    <col min="8" max="16384" width="8.6640625" style="1"/>
  </cols>
  <sheetData>
    <row r="1" spans="2:7" ht="14.5" thickBot="1"/>
    <row r="2" spans="2:7" ht="6.5" customHeight="1">
      <c r="B2" s="64"/>
      <c r="C2" s="65"/>
      <c r="D2" s="65"/>
      <c r="E2" s="65"/>
      <c r="F2" s="65"/>
      <c r="G2" s="66"/>
    </row>
    <row r="3" spans="2:7" ht="18">
      <c r="B3" s="67"/>
      <c r="C3" s="78" t="s">
        <v>53</v>
      </c>
      <c r="D3" s="68"/>
      <c r="E3" s="68"/>
      <c r="F3" s="68"/>
      <c r="G3" s="69"/>
    </row>
    <row r="4" spans="2:7">
      <c r="B4" s="67"/>
      <c r="C4" s="68"/>
      <c r="D4" s="68"/>
      <c r="E4" s="68"/>
      <c r="F4" s="68"/>
      <c r="G4" s="69"/>
    </row>
    <row r="5" spans="2:7">
      <c r="B5" s="67"/>
      <c r="C5" s="70" t="s">
        <v>0</v>
      </c>
      <c r="D5" s="70" t="s">
        <v>1</v>
      </c>
      <c r="E5" s="70" t="s">
        <v>2</v>
      </c>
      <c r="F5" s="70" t="s">
        <v>3</v>
      </c>
      <c r="G5" s="69"/>
    </row>
    <row r="6" spans="2:7">
      <c r="B6" s="67"/>
      <c r="C6" s="71">
        <v>0.25</v>
      </c>
      <c r="D6" s="72">
        <v>2.15</v>
      </c>
      <c r="E6" s="73" t="b">
        <v>1</v>
      </c>
      <c r="F6" s="74" t="s">
        <v>4</v>
      </c>
      <c r="G6" s="69"/>
    </row>
    <row r="7" spans="2:7">
      <c r="B7" s="67"/>
      <c r="C7" s="71">
        <v>0.5</v>
      </c>
      <c r="D7" s="72">
        <v>2.25</v>
      </c>
      <c r="E7" s="73" t="b">
        <v>1</v>
      </c>
      <c r="F7" s="74" t="s">
        <v>5</v>
      </c>
      <c r="G7" s="69"/>
    </row>
    <row r="8" spans="2:7">
      <c r="B8" s="67"/>
      <c r="C8" s="71">
        <v>1</v>
      </c>
      <c r="D8" s="72">
        <v>2.4500000000000002</v>
      </c>
      <c r="E8" s="73" t="b">
        <v>1</v>
      </c>
      <c r="F8" s="74" t="s">
        <v>6</v>
      </c>
      <c r="G8" s="69"/>
    </row>
    <row r="9" spans="2:7">
      <c r="B9" s="67"/>
      <c r="C9" s="71">
        <v>2</v>
      </c>
      <c r="D9" s="72">
        <v>2.75</v>
      </c>
      <c r="E9" s="73" t="b">
        <v>1</v>
      </c>
      <c r="F9" s="74" t="s">
        <v>7</v>
      </c>
      <c r="G9" s="69"/>
    </row>
    <row r="10" spans="2:7">
      <c r="B10" s="67"/>
      <c r="C10" s="71">
        <v>3</v>
      </c>
      <c r="D10" s="72">
        <v>2.95</v>
      </c>
      <c r="E10" s="73" t="b">
        <v>0</v>
      </c>
      <c r="F10" s="74" t="s">
        <v>8</v>
      </c>
      <c r="G10" s="69"/>
    </row>
    <row r="11" spans="2:7">
      <c r="B11" s="67"/>
      <c r="C11" s="71">
        <v>5</v>
      </c>
      <c r="D11" s="72">
        <v>3.25</v>
      </c>
      <c r="E11" s="73" t="b">
        <v>1</v>
      </c>
      <c r="F11" s="74" t="s">
        <v>9</v>
      </c>
      <c r="G11" s="69"/>
    </row>
    <row r="12" spans="2:7">
      <c r="B12" s="67"/>
      <c r="C12" s="71">
        <v>7</v>
      </c>
      <c r="D12" s="72">
        <v>3.45</v>
      </c>
      <c r="E12" s="73" t="b">
        <v>0</v>
      </c>
      <c r="F12" s="74" t="s">
        <v>8</v>
      </c>
      <c r="G12" s="69"/>
    </row>
    <row r="13" spans="2:7">
      <c r="B13" s="67"/>
      <c r="C13" s="71">
        <v>10</v>
      </c>
      <c r="D13" s="72">
        <v>3.65</v>
      </c>
      <c r="E13" s="73" t="b">
        <v>1</v>
      </c>
      <c r="F13" s="74" t="s">
        <v>10</v>
      </c>
      <c r="G13" s="69"/>
    </row>
    <row r="14" spans="2:7">
      <c r="B14" s="67"/>
      <c r="C14" s="71">
        <v>15</v>
      </c>
      <c r="D14" s="72">
        <v>3.75</v>
      </c>
      <c r="E14" s="73" t="b">
        <v>0</v>
      </c>
      <c r="F14" s="74" t="s">
        <v>8</v>
      </c>
      <c r="G14" s="69"/>
    </row>
    <row r="15" spans="2:7">
      <c r="B15" s="67"/>
      <c r="C15" s="71">
        <v>20</v>
      </c>
      <c r="D15" s="72">
        <v>3.8</v>
      </c>
      <c r="E15" s="73" t="b">
        <v>0</v>
      </c>
      <c r="F15" s="74" t="s">
        <v>8</v>
      </c>
      <c r="G15" s="69"/>
    </row>
    <row r="16" spans="2:7">
      <c r="B16" s="67"/>
      <c r="C16" s="71">
        <v>30</v>
      </c>
      <c r="D16" s="72">
        <v>3.85</v>
      </c>
      <c r="E16" s="73" t="b">
        <v>1</v>
      </c>
      <c r="F16" s="74" t="s">
        <v>11</v>
      </c>
      <c r="G16" s="69"/>
    </row>
    <row r="17" spans="2:7" ht="6.5" customHeight="1" thickBot="1">
      <c r="B17" s="75"/>
      <c r="C17" s="76"/>
      <c r="D17" s="76"/>
      <c r="E17" s="76"/>
      <c r="F17" s="76"/>
      <c r="G17" s="7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B22F6-88EF-4EAB-ACD0-CFB85E389E8E}">
  <dimension ref="B1:M34"/>
  <sheetViews>
    <sheetView topLeftCell="A12" workbookViewId="0">
      <selection activeCell="L33" sqref="L33"/>
    </sheetView>
  </sheetViews>
  <sheetFormatPr defaultRowHeight="14"/>
  <cols>
    <col min="1" max="1" width="8.6640625" style="1"/>
    <col min="2" max="2" width="1.58203125" style="1" customWidth="1"/>
    <col min="3" max="3" width="9.9140625" style="1" customWidth="1"/>
    <col min="4" max="4" width="14.75" style="1" customWidth="1"/>
    <col min="5" max="5" width="13.83203125" style="1" customWidth="1"/>
    <col min="6" max="6" width="17.58203125" style="1" customWidth="1"/>
    <col min="7" max="7" width="14.25" style="1" customWidth="1"/>
    <col min="8" max="8" width="13.4140625" style="1" customWidth="1"/>
    <col min="9" max="9" width="11.6640625" style="1" customWidth="1"/>
    <col min="10" max="10" width="13.9140625" style="1" bestFit="1" customWidth="1"/>
    <col min="11" max="11" width="9.75" style="1" customWidth="1"/>
    <col min="12" max="12" width="14.1640625" style="1" bestFit="1" customWidth="1"/>
    <col min="13" max="13" width="1.58203125" style="1" customWidth="1"/>
    <col min="14" max="16384" width="8.6640625" style="1"/>
  </cols>
  <sheetData>
    <row r="1" spans="2:13" ht="14.5" thickBot="1"/>
    <row r="2" spans="2:13" ht="6.5" customHeight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2:13" ht="18">
      <c r="B3" s="5"/>
      <c r="C3" s="63" t="s">
        <v>52</v>
      </c>
      <c r="D3" s="6"/>
      <c r="E3" s="6"/>
      <c r="F3" s="6"/>
      <c r="G3" s="6"/>
      <c r="H3" s="6"/>
      <c r="I3" s="6"/>
      <c r="J3" s="6"/>
      <c r="K3" s="6"/>
      <c r="L3" s="6"/>
      <c r="M3" s="7"/>
    </row>
    <row r="4" spans="2:13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2:13" ht="15.5">
      <c r="B5" s="5"/>
      <c r="C5" s="8" t="s">
        <v>12</v>
      </c>
      <c r="D5" s="9" t="s">
        <v>13</v>
      </c>
      <c r="E5" s="9" t="s">
        <v>14</v>
      </c>
      <c r="F5" s="10" t="s">
        <v>15</v>
      </c>
      <c r="G5" s="9" t="s">
        <v>16</v>
      </c>
      <c r="H5" s="9" t="s">
        <v>17</v>
      </c>
      <c r="I5" s="11" t="s">
        <v>18</v>
      </c>
      <c r="J5" s="11"/>
      <c r="K5" s="11"/>
      <c r="L5" s="12"/>
      <c r="M5" s="7"/>
    </row>
    <row r="6" spans="2:13" ht="16.5">
      <c r="B6" s="5"/>
      <c r="C6" s="13" t="s">
        <v>19</v>
      </c>
      <c r="D6" s="14" t="s">
        <v>54</v>
      </c>
      <c r="E6" s="15">
        <v>0.01</v>
      </c>
      <c r="F6" s="16">
        <v>2.0437000093542688E-2</v>
      </c>
      <c r="G6" s="15">
        <v>-0.1</v>
      </c>
      <c r="H6" s="15">
        <v>0.15</v>
      </c>
      <c r="I6" s="15" t="s">
        <v>20</v>
      </c>
      <c r="J6" s="15"/>
      <c r="K6" s="15"/>
      <c r="L6" s="17"/>
      <c r="M6" s="7"/>
    </row>
    <row r="7" spans="2:13" ht="16.5">
      <c r="B7" s="5"/>
      <c r="C7" s="13" t="s">
        <v>21</v>
      </c>
      <c r="D7" s="14" t="s">
        <v>55</v>
      </c>
      <c r="E7" s="15">
        <v>0.01</v>
      </c>
      <c r="F7" s="16">
        <v>0</v>
      </c>
      <c r="G7" s="15">
        <v>-0.15</v>
      </c>
      <c r="H7" s="15">
        <v>0.15</v>
      </c>
      <c r="I7" s="15" t="s">
        <v>22</v>
      </c>
      <c r="J7" s="15"/>
      <c r="K7" s="15"/>
      <c r="L7" s="17"/>
      <c r="M7" s="7"/>
    </row>
    <row r="8" spans="2:13" ht="16.5">
      <c r="B8" s="5"/>
      <c r="C8" s="13" t="s">
        <v>23</v>
      </c>
      <c r="D8" s="14" t="s">
        <v>56</v>
      </c>
      <c r="E8" s="15">
        <v>0.01</v>
      </c>
      <c r="F8" s="16">
        <v>2.0542078077049612E-2</v>
      </c>
      <c r="G8" s="15">
        <v>-0.15</v>
      </c>
      <c r="H8" s="15">
        <v>0.15</v>
      </c>
      <c r="I8" s="15" t="s">
        <v>24</v>
      </c>
      <c r="J8" s="15"/>
      <c r="K8" s="15"/>
      <c r="L8" s="17"/>
      <c r="M8" s="7"/>
    </row>
    <row r="9" spans="2:13" ht="16.5">
      <c r="B9" s="5"/>
      <c r="C9" s="13" t="s">
        <v>25</v>
      </c>
      <c r="D9" s="14" t="s">
        <v>57</v>
      </c>
      <c r="E9" s="15">
        <v>0.01</v>
      </c>
      <c r="F9" s="16">
        <v>5.2590859252025716E-2</v>
      </c>
      <c r="G9" s="15">
        <v>-0.15</v>
      </c>
      <c r="H9" s="15">
        <v>0.15</v>
      </c>
      <c r="I9" s="15" t="s">
        <v>26</v>
      </c>
      <c r="J9" s="15"/>
      <c r="K9" s="15"/>
      <c r="L9" s="17"/>
      <c r="M9" s="7"/>
    </row>
    <row r="10" spans="2:13" ht="16.5">
      <c r="B10" s="5"/>
      <c r="C10" s="13" t="s">
        <v>27</v>
      </c>
      <c r="D10" s="14" t="s">
        <v>58</v>
      </c>
      <c r="E10" s="15">
        <v>1</v>
      </c>
      <c r="F10" s="16">
        <v>3.3315485983253001</v>
      </c>
      <c r="G10" s="15">
        <v>0.1</v>
      </c>
      <c r="H10" s="15">
        <v>5</v>
      </c>
      <c r="I10" s="15" t="s">
        <v>28</v>
      </c>
      <c r="J10" s="15"/>
      <c r="K10" s="15"/>
      <c r="L10" s="17"/>
      <c r="M10" s="7"/>
    </row>
    <row r="11" spans="2:13" ht="16.5">
      <c r="B11" s="5"/>
      <c r="C11" s="18" t="s">
        <v>29</v>
      </c>
      <c r="D11" s="19" t="s">
        <v>59</v>
      </c>
      <c r="E11" s="20">
        <v>1</v>
      </c>
      <c r="F11" s="21">
        <v>17.654480105613263</v>
      </c>
      <c r="G11" s="20">
        <v>0.5</v>
      </c>
      <c r="H11" s="20">
        <v>15</v>
      </c>
      <c r="I11" s="20" t="s">
        <v>30</v>
      </c>
      <c r="J11" s="20"/>
      <c r="K11" s="20"/>
      <c r="L11" s="22"/>
      <c r="M11" s="7"/>
    </row>
    <row r="12" spans="2:13" ht="6.5" customHeight="1" thickBot="1">
      <c r="B12" s="23"/>
      <c r="C12" s="24"/>
      <c r="D12" s="25"/>
      <c r="E12" s="24"/>
      <c r="F12" s="24"/>
      <c r="G12" s="24"/>
      <c r="H12" s="24"/>
      <c r="I12" s="24"/>
      <c r="J12" s="24"/>
      <c r="K12" s="24"/>
      <c r="L12" s="24"/>
      <c r="M12" s="26"/>
    </row>
    <row r="13" spans="2:13" ht="16" thickBot="1"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2:13" ht="6.5" customHeight="1"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/>
    </row>
    <row r="15" spans="2:13" ht="18">
      <c r="B15" s="31"/>
      <c r="C15" s="32" t="s">
        <v>51</v>
      </c>
      <c r="D15" s="33"/>
      <c r="E15" s="33"/>
      <c r="F15" s="33"/>
      <c r="G15" s="33"/>
      <c r="H15" s="33"/>
      <c r="I15" s="33"/>
      <c r="J15" s="33"/>
      <c r="K15" s="33"/>
      <c r="L15" s="33"/>
      <c r="M15" s="34"/>
    </row>
    <row r="16" spans="2:13" ht="6.5" customHeight="1">
      <c r="B16" s="31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</row>
    <row r="17" spans="2:13" ht="31">
      <c r="B17" s="31"/>
      <c r="C17" s="35" t="s">
        <v>31</v>
      </c>
      <c r="D17" s="36" t="s">
        <v>48</v>
      </c>
      <c r="E17" s="37" t="s">
        <v>32</v>
      </c>
      <c r="F17" s="37" t="s">
        <v>33</v>
      </c>
      <c r="G17" s="37" t="s">
        <v>34</v>
      </c>
      <c r="H17" s="37" t="s">
        <v>35</v>
      </c>
      <c r="I17" s="38" t="s">
        <v>36</v>
      </c>
      <c r="J17" s="37" t="s">
        <v>37</v>
      </c>
      <c r="K17" s="37" t="s">
        <v>38</v>
      </c>
      <c r="L17" s="39" t="s">
        <v>39</v>
      </c>
      <c r="M17" s="34"/>
    </row>
    <row r="18" spans="2:13" ht="15.5">
      <c r="B18" s="31"/>
      <c r="C18" s="40">
        <f>Data_Input!C6</f>
        <v>0.25</v>
      </c>
      <c r="D18" s="41">
        <f>Data_Input!D6/100</f>
        <v>2.1499999999999998E-2</v>
      </c>
      <c r="E18" s="42">
        <f>(1-EXP(-C18/NSS_Lambda0))/(C18/NSS_Lambda0)</f>
        <v>0.96340107027274191</v>
      </c>
      <c r="F18" s="42">
        <f>E18-EXP(-C18/NSS_Lambda0)</f>
        <v>3.5694858119407535E-2</v>
      </c>
      <c r="G18" s="42" cm="1">
        <f t="array" ref="G18">(1-EXP(-C18/NSS_Lambda1))/(C18/NSS_Lambda1)-EXP(-C18/NSS_Lambda1)</f>
        <v>7.0138674603321682E-3</v>
      </c>
      <c r="H18" s="42" cm="1">
        <f t="array" ref="H18">NSS_Beta0+NSS_Beta1*E18+NSS_Beta2*F18+NSS_Beta3*G18</f>
        <v>2.1539111972399459E-2</v>
      </c>
      <c r="I18" s="43">
        <f>H18</f>
        <v>2.1539111972399459E-2</v>
      </c>
      <c r="J18" s="42">
        <f>POWER(D18-H18,2)</f>
        <v>1.529746384976196E-9</v>
      </c>
      <c r="K18" s="42">
        <f>ABS(D18-H18)</f>
        <v>3.9111972399460959E-5</v>
      </c>
      <c r="L18" s="44">
        <f>IF(Data_Input!E6=TRUE,1,0.5)</f>
        <v>1</v>
      </c>
      <c r="M18" s="34"/>
    </row>
    <row r="19" spans="2:13" ht="15.5">
      <c r="B19" s="31"/>
      <c r="C19" s="40">
        <f>Data_Input!C7</f>
        <v>0.5</v>
      </c>
      <c r="D19" s="41">
        <f>Data_Input!D7/100</f>
        <v>2.2499999999999999E-2</v>
      </c>
      <c r="E19" s="42">
        <f>(1-EXP(-C19/NSS_Lambda0))/(C19/NSS_Lambda0)</f>
        <v>0.92857711397996823</v>
      </c>
      <c r="F19" s="42">
        <f>E19-EXP(-C19/NSS_Lambda0)</f>
        <v>6.7938297912080836E-2</v>
      </c>
      <c r="G19" s="42" cm="1">
        <f t="array" ref="G19">(1-EXP(-C19/NSS_Lambda1))/(C19/NSS_Lambda1)-EXP(-C19/NSS_Lambda1)</f>
        <v>1.3896162130219158E-2</v>
      </c>
      <c r="H19" s="42" cm="1">
        <f t="array" ref="H19">NSS_Beta0+NSS_Beta1*E19+NSS_Beta2*F19+NSS_Beta3*G19</f>
        <v>2.2563405020408194E-2</v>
      </c>
      <c r="I19" s="43">
        <f t="shared" ref="I19:I28" si="0">H19</f>
        <v>2.2563405020408194E-2</v>
      </c>
      <c r="J19" s="42">
        <f t="shared" ref="J19:J28" si="1">POWER(D19-H19,2)</f>
        <v>4.0201966129636221E-9</v>
      </c>
      <c r="K19" s="42">
        <f t="shared" ref="K19:K28" si="2">ABS(D19-H19)</f>
        <v>6.3405020408194984E-5</v>
      </c>
      <c r="L19" s="44">
        <f>IF(Data_Input!E7=TRUE,1,0.5)</f>
        <v>1</v>
      </c>
      <c r="M19" s="34"/>
    </row>
    <row r="20" spans="2:13" ht="15.5">
      <c r="B20" s="31"/>
      <c r="C20" s="40">
        <f>Data_Input!C8</f>
        <v>1</v>
      </c>
      <c r="D20" s="41">
        <f>Data_Input!D8/100</f>
        <v>2.4500000000000001E-2</v>
      </c>
      <c r="E20" s="42">
        <f>(1-EXP(-C20/NSS_Lambda0))/(C20/NSS_Lambda0)</f>
        <v>0.8638733109917115</v>
      </c>
      <c r="F20" s="42">
        <f>E20-EXP(-C20/NSS_Lambda0)</f>
        <v>0.12317413926897647</v>
      </c>
      <c r="G20" s="42" cm="1">
        <f t="array" ref="G20">(1-EXP(-C20/NSS_Lambda1))/(C20/NSS_Lambda1)-EXP(-C20/NSS_Lambda1)</f>
        <v>2.727432996750534E-2</v>
      </c>
      <c r="H20" s="42" cm="1">
        <f t="array" ref="H20">NSS_Beta0+NSS_Beta1*E20+NSS_Beta2*F20+NSS_Beta3*G20</f>
        <v>2.4401633327993767E-2</v>
      </c>
      <c r="I20" s="43">
        <f t="shared" si="0"/>
        <v>2.4401633327993767E-2</v>
      </c>
      <c r="J20" s="42">
        <f t="shared" si="1"/>
        <v>9.6760021615821018E-9</v>
      </c>
      <c r="K20" s="42">
        <f t="shared" si="2"/>
        <v>9.8366672006234418E-5</v>
      </c>
      <c r="L20" s="44">
        <f>IF(Data_Input!E8=TRUE,1,0.5)</f>
        <v>1</v>
      </c>
      <c r="M20" s="34"/>
    </row>
    <row r="21" spans="2:13" ht="15.5">
      <c r="B21" s="31"/>
      <c r="C21" s="40">
        <f>Data_Input!C9</f>
        <v>2</v>
      </c>
      <c r="D21" s="41">
        <f>Data_Input!D9/100</f>
        <v>2.75E-2</v>
      </c>
      <c r="E21" s="42">
        <f>(1-EXP(-C21/NSS_Lambda0))/(C21/NSS_Lambda0)</f>
        <v>0.75187177845832442</v>
      </c>
      <c r="F21" s="42">
        <f>E21-EXP(-C21/NSS_Lambda0)</f>
        <v>0.2032365154675787</v>
      </c>
      <c r="G21" s="42" cm="1">
        <f t="array" ref="G21">(1-EXP(-C21/NSS_Lambda1))/(C21/NSS_Lambda1)-EXP(-C21/NSS_Lambda1)</f>
        <v>5.2541334034805098E-2</v>
      </c>
      <c r="H21" s="42" cm="1">
        <f t="array" ref="H21">NSS_Beta0+NSS_Beta1*E21+NSS_Beta2*F21+NSS_Beta3*G21</f>
        <v>2.7375094365523295E-2</v>
      </c>
      <c r="I21" s="43">
        <f t="shared" si="0"/>
        <v>2.7375094365523295E-2</v>
      </c>
      <c r="J21" s="42">
        <f t="shared" si="1"/>
        <v>1.5601417524028327E-8</v>
      </c>
      <c r="K21" s="42">
        <f t="shared" si="2"/>
        <v>1.2490563447670536E-4</v>
      </c>
      <c r="L21" s="44">
        <f>IF(Data_Input!E9=TRUE,1,0.5)</f>
        <v>1</v>
      </c>
      <c r="M21" s="34"/>
    </row>
    <row r="22" spans="2:13" ht="15.5">
      <c r="B22" s="31"/>
      <c r="C22" s="40">
        <f>Data_Input!C10</f>
        <v>3</v>
      </c>
      <c r="D22" s="41">
        <f>Data_Input!D10/100</f>
        <v>2.9500000000000002E-2</v>
      </c>
      <c r="E22" s="42">
        <f>(1-EXP(-C22/NSS_Lambda0))/(C22/NSS_Lambda0)</f>
        <v>0.65923163936109086</v>
      </c>
      <c r="F22" s="42">
        <f>E22-EXP(-C22/NSS_Lambda0)</f>
        <v>0.25285795448596066</v>
      </c>
      <c r="G22" s="42" cm="1">
        <f t="array" ref="G22">(1-EXP(-C22/NSS_Lambda1))/(C22/NSS_Lambda1)-EXP(-C22/NSS_Lambda1)</f>
        <v>7.5925546416469869E-2</v>
      </c>
      <c r="H22" s="42" cm="1">
        <f t="array" ref="H22">NSS_Beta0+NSS_Beta1*E22+NSS_Beta2*F22+NSS_Beta3*G22</f>
        <v>2.9624217662218059E-2</v>
      </c>
      <c r="I22" s="43">
        <f t="shared" si="0"/>
        <v>2.9624217662218059E-2</v>
      </c>
      <c r="J22" s="42">
        <f t="shared" si="1"/>
        <v>1.5430027606919441E-8</v>
      </c>
      <c r="K22" s="42">
        <f t="shared" si="2"/>
        <v>1.2421766221805755E-4</v>
      </c>
      <c r="L22" s="44">
        <f>IF(Data_Input!E10=TRUE,1,0.5)</f>
        <v>0.5</v>
      </c>
      <c r="M22" s="34"/>
    </row>
    <row r="23" spans="2:13" ht="15.5">
      <c r="B23" s="31"/>
      <c r="C23" s="40">
        <f>Data_Input!C11</f>
        <v>5</v>
      </c>
      <c r="D23" s="41">
        <f>Data_Input!D11/100</f>
        <v>3.2500000000000001E-2</v>
      </c>
      <c r="E23" s="42">
        <f>(1-EXP(-C23/NSS_Lambda0))/(C23/NSS_Lambda0)</f>
        <v>0.51775534568294534</v>
      </c>
      <c r="F23" s="42">
        <f>E23-EXP(-C23/NSS_Lambda0)</f>
        <v>0.29480441220895992</v>
      </c>
      <c r="G23" s="42" cm="1">
        <f t="array" ref="G23">(1-EXP(-C23/NSS_Lambda1))/(C23/NSS_Lambda1)-EXP(-C23/NSS_Lambda1)</f>
        <v>0.11750754311497136</v>
      </c>
      <c r="H23" s="42" cm="1">
        <f t="array" ref="H23">NSS_Beta0+NSS_Beta1*E23+NSS_Beta2*F23+NSS_Beta3*G23</f>
        <v>3.267271800760866E-2</v>
      </c>
      <c r="I23" s="43">
        <f t="shared" si="0"/>
        <v>3.267271800760866E-2</v>
      </c>
      <c r="J23" s="42">
        <f t="shared" si="1"/>
        <v>2.9831510152304797E-8</v>
      </c>
      <c r="K23" s="42">
        <f t="shared" si="2"/>
        <v>1.7271800760865902E-4</v>
      </c>
      <c r="L23" s="44">
        <f>IF(Data_Input!E11=TRUE,1,0.5)</f>
        <v>1</v>
      </c>
      <c r="M23" s="34"/>
    </row>
    <row r="24" spans="2:13" ht="15.5">
      <c r="B24" s="31"/>
      <c r="C24" s="40">
        <f>Data_Input!C12</f>
        <v>7</v>
      </c>
      <c r="D24" s="41">
        <f>Data_Input!D12/100</f>
        <v>3.4500000000000003E-2</v>
      </c>
      <c r="E24" s="42">
        <f>(1-EXP(-C24/NSS_Lambda0))/(C24/NSS_Lambda0)</f>
        <v>0.41771967973354063</v>
      </c>
      <c r="F24" s="42">
        <f>E24-EXP(-C24/NSS_Lambda0)</f>
        <v>0.29540093571300841</v>
      </c>
      <c r="G24" s="42" cm="1">
        <f t="array" ref="G24">(1-EXP(-C24/NSS_Lambda1))/(C24/NSS_Lambda1)-EXP(-C24/NSS_Lambda1)</f>
        <v>0.15287755310300633</v>
      </c>
      <c r="H24" s="42" cm="1">
        <f t="array" ref="H24">NSS_Beta0+NSS_Beta1*E24+NSS_Beta2*F24+NSS_Beta3*G24</f>
        <v>3.4545111057027109E-2</v>
      </c>
      <c r="I24" s="43">
        <f t="shared" si="0"/>
        <v>3.4545111057027109E-2</v>
      </c>
      <c r="J24" s="42">
        <f t="shared" si="1"/>
        <v>2.0350074661027841E-9</v>
      </c>
      <c r="K24" s="42">
        <f t="shared" si="2"/>
        <v>4.5111057027105717E-5</v>
      </c>
      <c r="L24" s="44">
        <f>IF(Data_Input!E12=TRUE,1,0.5)</f>
        <v>0.5</v>
      </c>
      <c r="M24" s="34"/>
    </row>
    <row r="25" spans="2:13" ht="15.5">
      <c r="B25" s="31"/>
      <c r="C25" s="40">
        <f>Data_Input!C13</f>
        <v>10</v>
      </c>
      <c r="D25" s="41">
        <f>Data_Input!D13/100</f>
        <v>3.6499999999999998E-2</v>
      </c>
      <c r="E25" s="42">
        <f>(1-EXP(-C25/NSS_Lambda0))/(C25/NSS_Lambda0)</f>
        <v>0.31659469165705201</v>
      </c>
      <c r="F25" s="42">
        <f>E25-EXP(-C25/NSS_Lambda0)</f>
        <v>0.26688757292013054</v>
      </c>
      <c r="G25" s="42" cm="1">
        <f t="array" ref="G25">(1-EXP(-C25/NSS_Lambda1))/(C25/NSS_Lambda1)-EXP(-C25/NSS_Lambda1)</f>
        <v>0.19592118372018541</v>
      </c>
      <c r="H25" s="42" cm="1">
        <f t="array" ref="H25">NSS_Beta0+NSS_Beta1*E25+NSS_Beta2*F25+NSS_Beta3*G25</f>
        <v>3.6223088851780827E-2</v>
      </c>
      <c r="I25" s="43">
        <f t="shared" si="0"/>
        <v>3.6223088851780827E-2</v>
      </c>
      <c r="J25" s="42">
        <f t="shared" si="1"/>
        <v>7.6679784008059578E-8</v>
      </c>
      <c r="K25" s="42">
        <f t="shared" si="2"/>
        <v>2.7691114821917079E-4</v>
      </c>
      <c r="L25" s="44">
        <f>IF(Data_Input!E13=TRUE,1,0.5)</f>
        <v>1</v>
      </c>
      <c r="M25" s="34"/>
    </row>
    <row r="26" spans="2:13" ht="15.5">
      <c r="B26" s="31"/>
      <c r="C26" s="40">
        <f>Data_Input!C14</f>
        <v>15</v>
      </c>
      <c r="D26" s="41">
        <f>Data_Input!D14/100</f>
        <v>3.7499999999999999E-2</v>
      </c>
      <c r="E26" s="42">
        <f>(1-EXP(-C26/NSS_Lambda0))/(C26/NSS_Lambda0)</f>
        <v>0.219641836586214</v>
      </c>
      <c r="F26" s="42">
        <f>E26-EXP(-C26/NSS_Lambda0)</f>
        <v>0.20855958806351513</v>
      </c>
      <c r="G26" s="42" cm="1">
        <f t="array" ref="G26">(1-EXP(-C26/NSS_Lambda1))/(C26/NSS_Lambda1)-EXP(-C26/NSS_Lambda1)</f>
        <v>0.24616532453421569</v>
      </c>
      <c r="H26" s="42" cm="1">
        <f t="array" ref="H26">NSS_Beta0+NSS_Beta1*E26+NSS_Beta2*F26+NSS_Beta3*G26</f>
        <v>3.7667293370568886E-2</v>
      </c>
      <c r="I26" s="43">
        <f t="shared" si="0"/>
        <v>3.7667293370568886E-2</v>
      </c>
      <c r="J26" s="42">
        <f t="shared" si="1"/>
        <v>2.7987071836298943E-8</v>
      </c>
      <c r="K26" s="42">
        <f t="shared" si="2"/>
        <v>1.6729337056888699E-4</v>
      </c>
      <c r="L26" s="44">
        <f>IF(Data_Input!E14=TRUE,1,0.5)</f>
        <v>0.5</v>
      </c>
      <c r="M26" s="34"/>
    </row>
    <row r="27" spans="2:13" ht="15.5">
      <c r="B27" s="31"/>
      <c r="C27" s="40">
        <f>Data_Input!C15</f>
        <v>20</v>
      </c>
      <c r="D27" s="41">
        <f>Data_Input!D15/100</f>
        <v>3.7999999999999999E-2</v>
      </c>
      <c r="E27" s="42">
        <f>(1-EXP(-C27/NSS_Lambda0))/(C27/NSS_Lambda0)</f>
        <v>0.16616585079336407</v>
      </c>
      <c r="F27" s="42">
        <f>E27-EXP(-C27/NSS_Lambda0)</f>
        <v>0.16369505314023766</v>
      </c>
      <c r="G27" s="42" cm="1">
        <f t="array" ref="G27">(1-EXP(-C27/NSS_Lambda1))/(C27/NSS_Lambda1)-EXP(-C27/NSS_Lambda1)</f>
        <v>0.27627658942331484</v>
      </c>
      <c r="H27" s="42" cm="1">
        <f t="array" ref="H27">NSS_Beta0+NSS_Beta1*E27+NSS_Beta2*F27+NSS_Beta3*G27</f>
        <v>3.8329259884967479E-2</v>
      </c>
      <c r="I27" s="43">
        <f t="shared" si="0"/>
        <v>3.8329259884967479E-2</v>
      </c>
      <c r="J27" s="42">
        <f t="shared" si="1"/>
        <v>1.0841207184879794E-7</v>
      </c>
      <c r="K27" s="42">
        <f t="shared" si="2"/>
        <v>3.2925988496747965E-4</v>
      </c>
      <c r="L27" s="44">
        <f>IF(Data_Input!E15=TRUE,1,0.5)</f>
        <v>0.5</v>
      </c>
      <c r="M27" s="34"/>
    </row>
    <row r="28" spans="2:13" ht="15.5">
      <c r="B28" s="31"/>
      <c r="C28" s="45">
        <f>Data_Input!C16</f>
        <v>30</v>
      </c>
      <c r="D28" s="46">
        <f>Data_Input!D16/100</f>
        <v>3.85E-2</v>
      </c>
      <c r="E28" s="47">
        <f>(1-EXP(-C28/NSS_Lambda0))/(C28/NSS_Lambda0)</f>
        <v>0.11103798100262222</v>
      </c>
      <c r="F28" s="47">
        <f>E28-EXP(-C28/NSS_Lambda0)</f>
        <v>0.11091516477030336</v>
      </c>
      <c r="G28" s="47" cm="1">
        <f t="array" ref="G28">(1-EXP(-C28/NSS_Lambda1))/(C28/NSS_Lambda1)-EXP(-C28/NSS_Lambda1)</f>
        <v>0.29808560975480003</v>
      </c>
      <c r="H28" s="47" cm="1">
        <f t="array" ref="H28">NSS_Beta0+NSS_Beta1*E28+NSS_Beta2*F28+NSS_Beta3*G28</f>
        <v>3.8392006415852033E-2</v>
      </c>
      <c r="I28" s="48">
        <f t="shared" si="0"/>
        <v>3.8392006415852033E-2</v>
      </c>
      <c r="J28" s="47">
        <f t="shared" si="1"/>
        <v>1.1662614217123981E-8</v>
      </c>
      <c r="K28" s="47">
        <f t="shared" si="2"/>
        <v>1.0799358414796678E-4</v>
      </c>
      <c r="L28" s="49">
        <f>IF(Data_Input!E16=TRUE,1,0.5)</f>
        <v>1</v>
      </c>
      <c r="M28" s="34"/>
    </row>
    <row r="29" spans="2:13" ht="14.5" thickBot="1">
      <c r="B29" s="31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4"/>
    </row>
    <row r="30" spans="2:13" ht="15.5">
      <c r="B30" s="31"/>
      <c r="C30" s="33"/>
      <c r="D30" s="33"/>
      <c r="E30" s="33"/>
      <c r="F30" s="33"/>
      <c r="G30" s="33"/>
      <c r="H30" s="50"/>
      <c r="I30" s="51"/>
      <c r="J30" s="51"/>
      <c r="K30" s="52" t="s">
        <v>40</v>
      </c>
      <c r="L30" s="53">
        <f>SUMPRODUCT(J18:J28,L18:L28)</f>
        <v>2.2593336044009817E-7</v>
      </c>
      <c r="M30" s="34"/>
    </row>
    <row r="31" spans="2:13" ht="15.5">
      <c r="B31" s="31"/>
      <c r="C31" s="33"/>
      <c r="D31" s="33"/>
      <c r="E31" s="33"/>
      <c r="F31" s="33"/>
      <c r="G31" s="33"/>
      <c r="H31" s="54"/>
      <c r="I31" s="55"/>
      <c r="J31" s="55"/>
      <c r="K31" s="42" t="s">
        <v>41</v>
      </c>
      <c r="L31" s="56">
        <f>SQRT(AVERAGE(J18:J28))</f>
        <v>1.6593137952428564E-4</v>
      </c>
      <c r="M31" s="34"/>
    </row>
    <row r="32" spans="2:13" ht="15.5">
      <c r="B32" s="31"/>
      <c r="C32" s="33"/>
      <c r="D32" s="33"/>
      <c r="E32" s="33"/>
      <c r="F32" s="33"/>
      <c r="G32" s="33"/>
      <c r="H32" s="54"/>
      <c r="I32" s="55"/>
      <c r="J32" s="55"/>
      <c r="K32" s="42" t="s">
        <v>42</v>
      </c>
      <c r="L32" s="56">
        <f>AVERAGE(K18:K28)</f>
        <v>1.4084491036799293E-4</v>
      </c>
      <c r="M32" s="34"/>
    </row>
    <row r="33" spans="2:13" ht="16" thickBot="1">
      <c r="B33" s="31"/>
      <c r="C33" s="33"/>
      <c r="D33" s="33"/>
      <c r="E33" s="33"/>
      <c r="F33" s="33"/>
      <c r="G33" s="33"/>
      <c r="H33" s="57"/>
      <c r="I33" s="58"/>
      <c r="J33" s="58"/>
      <c r="K33" s="79" t="s">
        <v>43</v>
      </c>
      <c r="L33" s="59">
        <f>RSQ(D18:D28,H18:H28)</f>
        <v>0.99930459131321936</v>
      </c>
      <c r="M33" s="34"/>
    </row>
    <row r="34" spans="2:13" ht="6.5" customHeight="1" thickBo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55768-A7C0-4AA0-AA31-6AE83D22FCCF}">
  <dimension ref="B1:H30"/>
  <sheetViews>
    <sheetView workbookViewId="0">
      <selection activeCell="F6" sqref="F6"/>
    </sheetView>
  </sheetViews>
  <sheetFormatPr defaultRowHeight="14"/>
  <cols>
    <col min="1" max="1" width="8.6640625" style="1"/>
    <col min="2" max="2" width="1.58203125" style="1" customWidth="1"/>
    <col min="3" max="3" width="8.6640625" style="1"/>
    <col min="4" max="7" width="16.4140625" style="1" customWidth="1"/>
    <col min="8" max="8" width="1.58203125" style="1" customWidth="1"/>
    <col min="9" max="16384" width="8.6640625" style="1"/>
  </cols>
  <sheetData>
    <row r="1" spans="2:8" ht="14.5" thickBot="1"/>
    <row r="2" spans="2:8" ht="6.5" customHeight="1">
      <c r="B2" s="88"/>
      <c r="C2" s="89"/>
      <c r="D2" s="89"/>
      <c r="E2" s="89"/>
      <c r="F2" s="89"/>
      <c r="G2" s="89"/>
      <c r="H2" s="90"/>
    </row>
    <row r="3" spans="2:8" ht="18">
      <c r="B3" s="91"/>
      <c r="C3" s="97" t="s">
        <v>75</v>
      </c>
      <c r="D3" s="92"/>
      <c r="E3" s="92"/>
      <c r="F3" s="92"/>
      <c r="G3" s="92"/>
      <c r="H3" s="93"/>
    </row>
    <row r="4" spans="2:8">
      <c r="B4" s="91"/>
      <c r="C4" s="92"/>
      <c r="D4" s="92"/>
      <c r="E4" s="92"/>
      <c r="F4" s="92"/>
      <c r="G4" s="92"/>
      <c r="H4" s="93"/>
    </row>
    <row r="5" spans="2:8">
      <c r="B5" s="91"/>
      <c r="C5" s="85" t="s">
        <v>31</v>
      </c>
      <c r="D5" s="86" t="s">
        <v>44</v>
      </c>
      <c r="E5" s="86" t="s">
        <v>45</v>
      </c>
      <c r="F5" s="86" t="s">
        <v>46</v>
      </c>
      <c r="G5" s="87" t="s">
        <v>47</v>
      </c>
      <c r="H5" s="93"/>
    </row>
    <row r="6" spans="2:8">
      <c r="B6" s="91"/>
      <c r="C6" s="80">
        <v>0.25</v>
      </c>
      <c r="D6" s="68" cm="1">
        <f t="array" ref="D6">NSS_Beta0+NSS_Beta1*((1-EXP(-C6/NSS_Lambda0))/(C6/NSS_Lambda0))+NSS_Beta2*(((1-EXP(-C6/NSS_Lambda0))/(C6/NSS_Lambda0))-EXP(-C6/NSS_Lambda0))+NSS_Beta3*(((1-EXP(-C6/NSS_Lambda1))/(C6/NSS_Lambda1))-EXP(-C6/NSS_Lambda1))</f>
        <v>2.1539111972399459E-2</v>
      </c>
      <c r="E6" s="68">
        <f>IF(C6=0.25,D6,(D6*C6-D5*C5)/(C6-C5)*12)</f>
        <v>2.1539111972399459E-2</v>
      </c>
      <c r="F6" s="98" t="str">
        <f>IF(D7&gt;D6,"Rising",IF(D7&lt;D6,"Falling","Flat"))</f>
        <v>Rising</v>
      </c>
      <c r="G6" s="99" t="str">
        <f>IF(Model_Calculations!$L$33&gt;0.99,"Good",IF(Model_Calculations!$L$33&gt;0.95,"Fair","Poor"))</f>
        <v>Good</v>
      </c>
      <c r="H6" s="93"/>
    </row>
    <row r="7" spans="2:8">
      <c r="B7" s="91"/>
      <c r="C7" s="80">
        <v>0.5</v>
      </c>
      <c r="D7" s="68" cm="1">
        <f t="array" ref="D7">NSS_Beta0+NSS_Beta1*((1-EXP(-C7/NSS_Lambda0))/(C7/NSS_Lambda0))+NSS_Beta2*(((1-EXP(-C7/NSS_Lambda0))/(C7/NSS_Lambda0))-EXP(-C7/NSS_Lambda0))+NSS_Beta3*(((1-EXP(-C7/NSS_Lambda1))/(C7/NSS_Lambda1))-EXP(-C7/NSS_Lambda1))</f>
        <v>2.2563405020408194E-2</v>
      </c>
      <c r="E7" s="68">
        <f t="shared" ref="E7:E29" si="0">IF(C7=0.25,D7,(D7*C7-D6*C6)/(C7-C6)*12)</f>
        <v>0.28305237682100315</v>
      </c>
      <c r="F7" s="98" t="str">
        <f t="shared" ref="F7:F29" si="1">IF(D8&gt;D7,"Rising",IF(D8&lt;D7,"Falling","Flat"))</f>
        <v>Rising</v>
      </c>
      <c r="G7" s="99" t="str">
        <f>IF(Model_Calculations!$L$33&gt;0.99,"Good",IF(Model_Calculations!$L$33&gt;0.95,"Fair","Poor"))</f>
        <v>Good</v>
      </c>
      <c r="H7" s="93"/>
    </row>
    <row r="8" spans="2:8">
      <c r="B8" s="91"/>
      <c r="C8" s="80">
        <v>0.75</v>
      </c>
      <c r="D8" s="68" cm="1">
        <f t="array" ref="D8">NSS_Beta0+NSS_Beta1*((1-EXP(-C8/NSS_Lambda0))/(C8/NSS_Lambda0))+NSS_Beta2*(((1-EXP(-C8/NSS_Lambda0))/(C8/NSS_Lambda0))-EXP(-C8/NSS_Lambda0))+NSS_Beta3*(((1-EXP(-C8/NSS_Lambda1))/(C8/NSS_Lambda1))-EXP(-C8/NSS_Lambda1))</f>
        <v>2.351576583706854E-2</v>
      </c>
      <c r="E8" s="68">
        <f t="shared" si="0"/>
        <v>0.30504584964467074</v>
      </c>
      <c r="F8" s="98" t="str">
        <f t="shared" si="1"/>
        <v>Rising</v>
      </c>
      <c r="G8" s="99" t="str">
        <f>IF(Model_Calculations!$L$33&gt;0.99,"Good",IF(Model_Calculations!$L$33&gt;0.95,"Fair","Poor"))</f>
        <v>Good</v>
      </c>
      <c r="H8" s="93"/>
    </row>
    <row r="9" spans="2:8">
      <c r="B9" s="91"/>
      <c r="C9" s="80">
        <v>1</v>
      </c>
      <c r="D9" s="68">
        <f>NSS_Beta0+NSS_Beta1*((1-EXP(-C9/NSS_Lambda0))/(C9/NSS_Lambda0))+NSS_Beta2*(((1-EXP(-C9/NSS_Lambda0))/(C9/NSS_Lambda0))-EXP(-C9/NSS_Lambda0))+NSS_Beta3*(((1-EXP(-C9/NSS_Lambda1))/(C9/NSS_Lambda1))-EXP(-C9/NSS_Lambda1))</f>
        <v>2.4401633327993767E-2</v>
      </c>
      <c r="E9" s="68">
        <f t="shared" si="0"/>
        <v>0.32471082960923342</v>
      </c>
      <c r="F9" s="98" t="str">
        <f t="shared" si="1"/>
        <v>Rising</v>
      </c>
      <c r="G9" s="99" t="str">
        <f>IF(Model_Calculations!$L$33&gt;0.99,"Good",IF(Model_Calculations!$L$33&gt;0.95,"Fair","Poor"))</f>
        <v>Good</v>
      </c>
      <c r="H9" s="93"/>
    </row>
    <row r="10" spans="2:8">
      <c r="B10" s="91"/>
      <c r="C10" s="80">
        <v>1.25</v>
      </c>
      <c r="D10" s="68" cm="1">
        <f t="array" ref="D10">NSS_Beta0+NSS_Beta1*((1-EXP(-C10/NSS_Lambda0))/(C10/NSS_Lambda0))+NSS_Beta2*(((1-EXP(-C10/NSS_Lambda0))/(C10/NSS_Lambda0))-EXP(-C10/NSS_Lambda0))+NSS_Beta3*(((1-EXP(-C10/NSS_Lambda1))/(C10/NSS_Lambda1))-EXP(-C10/NSS_Lambda1))</f>
        <v>2.5226032349512793E-2</v>
      </c>
      <c r="E10" s="68">
        <f t="shared" si="0"/>
        <v>0.34228354122706689</v>
      </c>
      <c r="F10" s="98" t="str">
        <f t="shared" si="1"/>
        <v>Rising</v>
      </c>
      <c r="G10" s="99" t="str">
        <f>IF(Model_Calculations!$L$33&gt;0.99,"Good",IF(Model_Calculations!$L$33&gt;0.95,"Fair","Poor"))</f>
        <v>Good</v>
      </c>
      <c r="H10" s="93"/>
    </row>
    <row r="11" spans="2:8">
      <c r="B11" s="91"/>
      <c r="C11" s="80">
        <v>1.5</v>
      </c>
      <c r="D11" s="68" cm="1">
        <f t="array" ref="D11">NSS_Beta0+NSS_Beta1*((1-EXP(-C11/NSS_Lambda0))/(C11/NSS_Lambda0))+NSS_Beta2*(((1-EXP(-C11/NSS_Lambda0))/(C11/NSS_Lambda0))-EXP(-C11/NSS_Lambda0))+NSS_Beta3*(((1-EXP(-C11/NSS_Lambda1))/(C11/NSS_Lambda1))-EXP(-C11/NSS_Lambda1))</f>
        <v>2.5993604851236106E-2</v>
      </c>
      <c r="E11" s="68">
        <f t="shared" si="0"/>
        <v>0.35797760831823178</v>
      </c>
      <c r="F11" s="98" t="str">
        <f t="shared" si="1"/>
        <v>Rising</v>
      </c>
      <c r="G11" s="99" t="str">
        <f>IF(Model_Calculations!$L$33&gt;0.99,"Good",IF(Model_Calculations!$L$33&gt;0.95,"Fair","Poor"))</f>
        <v>Good</v>
      </c>
      <c r="H11" s="93"/>
    </row>
    <row r="12" spans="2:8">
      <c r="B12" s="91"/>
      <c r="C12" s="80">
        <v>1.75</v>
      </c>
      <c r="D12" s="68" cm="1">
        <f t="array" ref="D12">NSS_Beta0+NSS_Beta1*((1-EXP(-C12/NSS_Lambda0))/(C12/NSS_Lambda0))+NSS_Beta2*(((1-EXP(-C12/NSS_Lambda0))/(C12/NSS_Lambda0))-EXP(-C12/NSS_Lambda0))+NSS_Beta3*(((1-EXP(-C12/NSS_Lambda1))/(C12/NSS_Lambda1))-EXP(-C12/NSS_Lambda1))</f>
        <v>2.6708638701311585E-2</v>
      </c>
      <c r="E12" s="68">
        <f t="shared" si="0"/>
        <v>0.37198610162117385</v>
      </c>
      <c r="F12" s="98" t="str">
        <f t="shared" si="1"/>
        <v>Rising</v>
      </c>
      <c r="G12" s="99" t="str">
        <f>IF(Model_Calculations!$L$33&gt;0.99,"Good",IF(Model_Calculations!$L$33&gt;0.95,"Fair","Poor"))</f>
        <v>Good</v>
      </c>
      <c r="H12" s="93"/>
    </row>
    <row r="13" spans="2:8">
      <c r="B13" s="91"/>
      <c r="C13" s="80">
        <v>2</v>
      </c>
      <c r="D13" s="68" cm="1">
        <f t="array" ref="D13">NSS_Beta0+NSS_Beta1*((1-EXP(-C13/NSS_Lambda0))/(C13/NSS_Lambda0))+NSS_Beta2*(((1-EXP(-C13/NSS_Lambda0))/(C13/NSS_Lambda0))-EXP(-C13/NSS_Lambda0))+NSS_Beta3*(((1-EXP(-C13/NSS_Lambda1))/(C13/NSS_Lambda1))-EXP(-C13/NSS_Lambda1))</f>
        <v>2.7375094365523295E-2</v>
      </c>
      <c r="E13" s="68">
        <f t="shared" si="0"/>
        <v>0.38448340818006299</v>
      </c>
      <c r="F13" s="98" t="str">
        <f t="shared" si="1"/>
        <v>Rising</v>
      </c>
      <c r="G13" s="99" t="str">
        <f>IF(Model_Calculations!$L$33&gt;0.99,"Good",IF(Model_Calculations!$L$33&gt;0.95,"Fair","Poor"))</f>
        <v>Good</v>
      </c>
      <c r="H13" s="93"/>
    </row>
    <row r="14" spans="2:8">
      <c r="B14" s="91"/>
      <c r="C14" s="80">
        <v>2.5</v>
      </c>
      <c r="D14" s="68" cm="1">
        <f t="array" ref="D14">NSS_Beta0+NSS_Beta1*((1-EXP(-C14/NSS_Lambda0))/(C14/NSS_Lambda0))+NSS_Beta2*(((1-EXP(-C14/NSS_Lambda0))/(C14/NSS_Lambda0))-EXP(-C14/NSS_Lambda0))+NSS_Beta3*(((1-EXP(-C14/NSS_Lambda1))/(C14/NSS_Lambda1))-EXP(-C14/NSS_Lambda1))</f>
        <v>2.8576622296131331E-2</v>
      </c>
      <c r="E14" s="68">
        <f t="shared" si="0"/>
        <v>0.40059280822276178</v>
      </c>
      <c r="F14" s="98" t="str">
        <f t="shared" si="1"/>
        <v>Rising</v>
      </c>
      <c r="G14" s="99" t="str">
        <f>IF(Model_Calculations!$L$33&gt;0.99,"Good",IF(Model_Calculations!$L$33&gt;0.95,"Fair","Poor"))</f>
        <v>Good</v>
      </c>
      <c r="H14" s="93"/>
    </row>
    <row r="15" spans="2:8">
      <c r="B15" s="91"/>
      <c r="C15" s="80">
        <v>3</v>
      </c>
      <c r="D15" s="68" cm="1">
        <f t="array" ref="D15">NSS_Beta0+NSS_Beta1*((1-EXP(-C15/NSS_Lambda0))/(C15/NSS_Lambda0))+NSS_Beta2*(((1-EXP(-C15/NSS_Lambda0))/(C15/NSS_Lambda0))-EXP(-C15/NSS_Lambda0))+NSS_Beta3*(((1-EXP(-C15/NSS_Lambda1))/(C15/NSS_Lambda1))-EXP(-C15/NSS_Lambda1))</f>
        <v>2.9624217662218059E-2</v>
      </c>
      <c r="E15" s="68">
        <f t="shared" si="0"/>
        <v>0.41834633391182019</v>
      </c>
      <c r="F15" s="98" t="str">
        <f t="shared" si="1"/>
        <v>Rising</v>
      </c>
      <c r="G15" s="99" t="str">
        <f>IF(Model_Calculations!$L$33&gt;0.99,"Good",IF(Model_Calculations!$L$33&gt;0.95,"Fair","Poor"))</f>
        <v>Good</v>
      </c>
      <c r="H15" s="93"/>
    </row>
    <row r="16" spans="2:8">
      <c r="B16" s="91"/>
      <c r="C16" s="80">
        <v>3.5</v>
      </c>
      <c r="D16" s="68" cm="1">
        <f t="array" ref="D16">NSS_Beta0+NSS_Beta1*((1-EXP(-C16/NSS_Lambda0))/(C16/NSS_Lambda0))+NSS_Beta2*(((1-EXP(-C16/NSS_Lambda0))/(C16/NSS_Lambda0))-EXP(-C16/NSS_Lambda0))+NSS_Beta3*(((1-EXP(-C16/NSS_Lambda1))/(C16/NSS_Lambda1))-EXP(-C16/NSS_Lambda1))</f>
        <v>3.0540071448741248E-2</v>
      </c>
      <c r="E16" s="68">
        <f t="shared" si="0"/>
        <v>0.43242233001456476</v>
      </c>
      <c r="F16" s="98" t="str">
        <f t="shared" si="1"/>
        <v>Rising</v>
      </c>
      <c r="G16" s="99" t="str">
        <f>IF(Model_Calculations!$L$33&gt;0.99,"Good",IF(Model_Calculations!$L$33&gt;0.95,"Fair","Poor"))</f>
        <v>Good</v>
      </c>
      <c r="H16" s="93"/>
    </row>
    <row r="17" spans="2:8">
      <c r="B17" s="91"/>
      <c r="C17" s="80">
        <v>4</v>
      </c>
      <c r="D17" s="68" cm="1">
        <f t="array" ref="D17">NSS_Beta0+NSS_Beta1*((1-EXP(-C17/NSS_Lambda0))/(C17/NSS_Lambda0))+NSS_Beta2*(((1-EXP(-C17/NSS_Lambda0))/(C17/NSS_Lambda0))-EXP(-C17/NSS_Lambda0))+NSS_Beta3*(((1-EXP(-C17/NSS_Lambda1))/(C17/NSS_Lambda1))-EXP(-C17/NSS_Lambda1))</f>
        <v>3.1343096021847532E-2</v>
      </c>
      <c r="E17" s="68">
        <f t="shared" si="0"/>
        <v>0.44357121640309816</v>
      </c>
      <c r="F17" s="98" t="str">
        <f t="shared" si="1"/>
        <v>Rising</v>
      </c>
      <c r="G17" s="99" t="str">
        <f>IF(Model_Calculations!$L$33&gt;0.99,"Good",IF(Model_Calculations!$L$33&gt;0.95,"Fair","Poor"))</f>
        <v>Good</v>
      </c>
      <c r="H17" s="93"/>
    </row>
    <row r="18" spans="2:8">
      <c r="B18" s="91"/>
      <c r="C18" s="80">
        <v>4.5</v>
      </c>
      <c r="D18" s="68" cm="1">
        <f t="array" ref="D18">NSS_Beta0+NSS_Beta1*((1-EXP(-C18/NSS_Lambda0))/(C18/NSS_Lambda0))+NSS_Beta2*(((1-EXP(-C18/NSS_Lambda0))/(C18/NSS_Lambda0))-EXP(-C18/NSS_Lambda0))+NSS_Beta3*(((1-EXP(-C18/NSS_Lambda1))/(C18/NSS_Lambda1))-EXP(-C18/NSS_Lambda1))</f>
        <v>3.2049403989450373E-2</v>
      </c>
      <c r="E18" s="68">
        <f t="shared" si="0"/>
        <v>0.45239841276327741</v>
      </c>
      <c r="F18" s="98" t="str">
        <f t="shared" si="1"/>
        <v>Rising</v>
      </c>
      <c r="G18" s="99" t="str">
        <f>IF(Model_Calculations!$L$33&gt;0.99,"Good",IF(Model_Calculations!$L$33&gt;0.95,"Fair","Poor"))</f>
        <v>Good</v>
      </c>
      <c r="H18" s="93"/>
    </row>
    <row r="19" spans="2:8">
      <c r="B19" s="91"/>
      <c r="C19" s="80">
        <v>5</v>
      </c>
      <c r="D19" s="68" cm="1">
        <f t="array" ref="D19">NSS_Beta0+NSS_Beta1*((1-EXP(-C19/NSS_Lambda0))/(C19/NSS_Lambda0))+NSS_Beta2*(((1-EXP(-C19/NSS_Lambda0))/(C19/NSS_Lambda0))-EXP(-C19/NSS_Lambda0))+NSS_Beta3*(((1-EXP(-C19/NSS_Lambda1))/(C19/NSS_Lambda1))-EXP(-C19/NSS_Lambda1))</f>
        <v>3.267271800760866E-2</v>
      </c>
      <c r="E19" s="68">
        <f t="shared" si="0"/>
        <v>0.4593905300523986</v>
      </c>
      <c r="F19" s="98" t="str">
        <f t="shared" si="1"/>
        <v>Rising</v>
      </c>
      <c r="G19" s="99" t="str">
        <f>IF(Model_Calculations!$L$33&gt;0.99,"Good",IF(Model_Calculations!$L$33&gt;0.95,"Fair","Poor"))</f>
        <v>Good</v>
      </c>
      <c r="H19" s="93"/>
    </row>
    <row r="20" spans="2:8">
      <c r="B20" s="91"/>
      <c r="C20" s="80">
        <v>6</v>
      </c>
      <c r="D20" s="68" cm="1">
        <f t="array" ref="D20">NSS_Beta0+NSS_Beta1*((1-EXP(-C20/NSS_Lambda0))/(C20/NSS_Lambda0))+NSS_Beta2*(((1-EXP(-C20/NSS_Lambda0))/(C20/NSS_Lambda0))-EXP(-C20/NSS_Lambda0))+NSS_Beta3*(((1-EXP(-C20/NSS_Lambda1))/(C20/NSS_Lambda1))-EXP(-C20/NSS_Lambda1))</f>
        <v>3.3715358063116131E-2</v>
      </c>
      <c r="E20" s="68">
        <f t="shared" si="0"/>
        <v>0.46714270008784209</v>
      </c>
      <c r="F20" s="98" t="str">
        <f t="shared" si="1"/>
        <v>Rising</v>
      </c>
      <c r="G20" s="99" t="str">
        <f>IF(Model_Calculations!$L$33&gt;0.99,"Good",IF(Model_Calculations!$L$33&gt;0.95,"Fair","Poor"))</f>
        <v>Good</v>
      </c>
      <c r="H20" s="93"/>
    </row>
    <row r="21" spans="2:8">
      <c r="B21" s="91"/>
      <c r="C21" s="80">
        <v>7</v>
      </c>
      <c r="D21" s="68" cm="1">
        <f t="array" ref="D21">NSS_Beta0+NSS_Beta1*((1-EXP(-C21/NSS_Lambda0))/(C21/NSS_Lambda0))+NSS_Beta2*(((1-EXP(-C21/NSS_Lambda0))/(C21/NSS_Lambda0))-EXP(-C21/NSS_Lambda0))+NSS_Beta3*(((1-EXP(-C21/NSS_Lambda1))/(C21/NSS_Lambda1))-EXP(-C21/NSS_Lambda1))</f>
        <v>3.4545111057027109E-2</v>
      </c>
      <c r="E21" s="68">
        <f t="shared" si="0"/>
        <v>0.47428354824591534</v>
      </c>
      <c r="F21" s="98" t="str">
        <f t="shared" si="1"/>
        <v>Rising</v>
      </c>
      <c r="G21" s="99" t="str">
        <f>IF(Model_Calculations!$L$33&gt;0.99,"Good",IF(Model_Calculations!$L$33&gt;0.95,"Fair","Poor"))</f>
        <v>Good</v>
      </c>
      <c r="H21" s="93"/>
    </row>
    <row r="22" spans="2:8">
      <c r="B22" s="91"/>
      <c r="C22" s="80">
        <v>8</v>
      </c>
      <c r="D22" s="68" cm="1">
        <f t="array" ref="D22">NSS_Beta0+NSS_Beta1*((1-EXP(-C22/NSS_Lambda0))/(C22/NSS_Lambda0))+NSS_Beta2*(((1-EXP(-C22/NSS_Lambda0))/(C22/NSS_Lambda0))-EXP(-C22/NSS_Lambda0))+NSS_Beta3*(((1-EXP(-C22/NSS_Lambda1))/(C22/NSS_Lambda1))-EXP(-C22/NSS_Lambda1))</f>
        <v>3.5215595742029662E-2</v>
      </c>
      <c r="E22" s="68">
        <f t="shared" si="0"/>
        <v>0.47890786244457062</v>
      </c>
      <c r="F22" s="98" t="str">
        <f t="shared" si="1"/>
        <v>Rising</v>
      </c>
      <c r="G22" s="99" t="str">
        <f>IF(Model_Calculations!$L$33&gt;0.99,"Good",IF(Model_Calculations!$L$33&gt;0.95,"Fair","Poor"))</f>
        <v>Good</v>
      </c>
      <c r="H22" s="93"/>
    </row>
    <row r="23" spans="2:8">
      <c r="B23" s="91"/>
      <c r="C23" s="80">
        <v>9</v>
      </c>
      <c r="D23" s="68" cm="1">
        <f t="array" ref="D23">NSS_Beta0+NSS_Beta1*((1-EXP(-C23/NSS_Lambda0))/(C23/NSS_Lambda0))+NSS_Beta2*(((1-EXP(-C23/NSS_Lambda0))/(C23/NSS_Lambda0))-EXP(-C23/NSS_Lambda0))+NSS_Beta3*(((1-EXP(-C23/NSS_Lambda1))/(C23/NSS_Lambda1))-EXP(-C23/NSS_Lambda1))</f>
        <v>3.5765580943904515E-2</v>
      </c>
      <c r="E23" s="68">
        <f t="shared" si="0"/>
        <v>0.48198555070684024</v>
      </c>
      <c r="F23" s="98" t="str">
        <f t="shared" si="1"/>
        <v>Rising</v>
      </c>
      <c r="G23" s="99" t="str">
        <f>IF(Model_Calculations!$L$33&gt;0.99,"Good",IF(Model_Calculations!$L$33&gt;0.95,"Fair","Poor"))</f>
        <v>Good</v>
      </c>
      <c r="H23" s="93"/>
    </row>
    <row r="24" spans="2:8">
      <c r="B24" s="91"/>
      <c r="C24" s="80">
        <v>10</v>
      </c>
      <c r="D24" s="68" cm="1">
        <f t="array" ref="D24">NSS_Beta0+NSS_Beta1*((1-EXP(-C24/NSS_Lambda0))/(C24/NSS_Lambda0))+NSS_Beta2*(((1-EXP(-C24/NSS_Lambda0))/(C24/NSS_Lambda0))-EXP(-C24/NSS_Lambda0))+NSS_Beta3*(((1-EXP(-C24/NSS_Lambda1))/(C24/NSS_Lambda1))-EXP(-C24/NSS_Lambda1))</f>
        <v>3.6223088851780827E-2</v>
      </c>
      <c r="E24" s="68">
        <f t="shared" si="0"/>
        <v>0.48408792027201142</v>
      </c>
      <c r="F24" s="98" t="str">
        <f t="shared" si="1"/>
        <v>Rising</v>
      </c>
      <c r="G24" s="99" t="str">
        <f>IF(Model_Calculations!$L$33&gt;0.99,"Good",IF(Model_Calculations!$L$33&gt;0.95,"Fair","Poor"))</f>
        <v>Good</v>
      </c>
      <c r="H24" s="93"/>
    </row>
    <row r="25" spans="2:8">
      <c r="B25" s="91"/>
      <c r="C25" s="80">
        <v>12</v>
      </c>
      <c r="D25" s="68" cm="1">
        <f t="array" ref="D25">NSS_Beta0+NSS_Beta1*((1-EXP(-C25/NSS_Lambda0))/(C25/NSS_Lambda0))+NSS_Beta2*(((1-EXP(-C25/NSS_Lambda0))/(C25/NSS_Lambda0))-EXP(-C25/NSS_Lambda0))+NSS_Beta3*(((1-EXP(-C25/NSS_Lambda1))/(C25/NSS_Lambda1))-EXP(-C25/NSS_Lambda1))</f>
        <v>3.6936139366020082E-2</v>
      </c>
      <c r="E25" s="68">
        <f t="shared" si="0"/>
        <v>0.48601670324659629</v>
      </c>
      <c r="F25" s="98" t="str">
        <f t="shared" si="1"/>
        <v>Rising</v>
      </c>
      <c r="G25" s="99" t="str">
        <f>IF(Model_Calculations!$L$33&gt;0.99,"Good",IF(Model_Calculations!$L$33&gt;0.95,"Fair","Poor"))</f>
        <v>Good</v>
      </c>
      <c r="H25" s="93"/>
    </row>
    <row r="26" spans="2:8">
      <c r="B26" s="91"/>
      <c r="C26" s="80">
        <v>15</v>
      </c>
      <c r="D26" s="68" cm="1">
        <f t="array" ref="D26">NSS_Beta0+NSS_Beta1*((1-EXP(-C26/NSS_Lambda0))/(C26/NSS_Lambda0))+NSS_Beta2*(((1-EXP(-C26/NSS_Lambda0))/(C26/NSS_Lambda0))-EXP(-C26/NSS_Lambda0))+NSS_Beta3*(((1-EXP(-C26/NSS_Lambda1))/(C26/NSS_Lambda1))-EXP(-C26/NSS_Lambda1))</f>
        <v>3.7667293370568886E-2</v>
      </c>
      <c r="E26" s="68">
        <f t="shared" si="0"/>
        <v>0.48710291266516936</v>
      </c>
      <c r="F26" s="98" t="str">
        <f t="shared" si="1"/>
        <v>Rising</v>
      </c>
      <c r="G26" s="99" t="str">
        <f>IF(Model_Calculations!$L$33&gt;0.99,"Good",IF(Model_Calculations!$L$33&gt;0.95,"Fair","Poor"))</f>
        <v>Good</v>
      </c>
      <c r="H26" s="93"/>
    </row>
    <row r="27" spans="2:8">
      <c r="B27" s="91"/>
      <c r="C27" s="80">
        <v>20</v>
      </c>
      <c r="D27" s="68" cm="1">
        <f t="array" ref="D27">NSS_Beta0+NSS_Beta1*((1-EXP(-C27/NSS_Lambda0))/(C27/NSS_Lambda0))+NSS_Beta2*(((1-EXP(-C27/NSS_Lambda0))/(C27/NSS_Lambda0))-EXP(-C27/NSS_Lambda0))+NSS_Beta3*(((1-EXP(-C27/NSS_Lambda1))/(C27/NSS_Lambda1))-EXP(-C27/NSS_Lambda1))</f>
        <v>3.8329259884967479E-2</v>
      </c>
      <c r="E27" s="68">
        <f t="shared" si="0"/>
        <v>0.4837819131379591</v>
      </c>
      <c r="F27" s="98" t="str">
        <f t="shared" si="1"/>
        <v>Rising</v>
      </c>
      <c r="G27" s="99" t="str">
        <f>IF(Model_Calculations!$L$33&gt;0.99,"Good",IF(Model_Calculations!$L$33&gt;0.95,"Fair","Poor"))</f>
        <v>Good</v>
      </c>
      <c r="H27" s="93"/>
    </row>
    <row r="28" spans="2:8">
      <c r="B28" s="91"/>
      <c r="C28" s="80">
        <v>25</v>
      </c>
      <c r="D28" s="68" cm="1">
        <f t="array" ref="D28">NSS_Beta0+NSS_Beta1*((1-EXP(-C28/NSS_Lambda0))/(C28/NSS_Lambda0))+NSS_Beta2*(((1-EXP(-C28/NSS_Lambda0))/(C28/NSS_Lambda0))-EXP(-C28/NSS_Lambda0))+NSS_Beta3*(((1-EXP(-C28/NSS_Lambda1))/(C28/NSS_Lambda1))-EXP(-C28/NSS_Lambda1))</f>
        <v>3.8525983675617194E-2</v>
      </c>
      <c r="E28" s="68">
        <f t="shared" si="0"/>
        <v>0.47175454605859241</v>
      </c>
      <c r="F28" s="98" t="str">
        <f t="shared" si="1"/>
        <v>Falling</v>
      </c>
      <c r="G28" s="99" t="str">
        <f>IF(Model_Calculations!$L$33&gt;0.99,"Good",IF(Model_Calculations!$L$33&gt;0.95,"Fair","Poor"))</f>
        <v>Good</v>
      </c>
      <c r="H28" s="93"/>
    </row>
    <row r="29" spans="2:8">
      <c r="B29" s="91"/>
      <c r="C29" s="82">
        <v>30</v>
      </c>
      <c r="D29" s="83" cm="1">
        <f t="array" ref="D29">NSS_Beta0+NSS_Beta1*((1-EXP(-C29/NSS_Lambda0))/(C29/NSS_Lambda0))+NSS_Beta2*(((1-EXP(-C29/NSS_Lambda0))/(C29/NSS_Lambda0))-EXP(-C29/NSS_Lambda0))+NSS_Beta3*(((1-EXP(-C29/NSS_Lambda1))/(C29/NSS_Lambda1))-EXP(-C29/NSS_Lambda1))</f>
        <v>3.8392006415852033E-2</v>
      </c>
      <c r="E29" s="83">
        <f t="shared" si="0"/>
        <v>0.45266544140431475</v>
      </c>
      <c r="F29" s="100" t="str">
        <f t="shared" si="1"/>
        <v>Falling</v>
      </c>
      <c r="G29" s="101" t="str">
        <f>IF(Model_Calculations!$L$33&gt;0.99,"Good",IF(Model_Calculations!$L$33&gt;0.95,"Fair","Poor"))</f>
        <v>Good</v>
      </c>
      <c r="H29" s="93"/>
    </row>
    <row r="30" spans="2:8" ht="6.5" customHeight="1" thickBot="1">
      <c r="B30" s="95"/>
      <c r="C30" s="96"/>
      <c r="D30" s="96"/>
      <c r="E30" s="96"/>
      <c r="F30" s="96"/>
      <c r="G30" s="96"/>
      <c r="H30" s="9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ReadMe</vt:lpstr>
      <vt:lpstr>Data_Input</vt:lpstr>
      <vt:lpstr>Model_Calculations</vt:lpstr>
      <vt:lpstr>Full_Yield_Curve</vt:lpstr>
      <vt:lpstr>NSS_Beta0</vt:lpstr>
      <vt:lpstr>NSS_Beta1</vt:lpstr>
      <vt:lpstr>NSS_Beta2</vt:lpstr>
      <vt:lpstr>NSS_Beta3</vt:lpstr>
      <vt:lpstr>NSS_Lambda0</vt:lpstr>
      <vt:lpstr>NSS_Lambda1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Adams</dc:creator>
  <cp:lastModifiedBy>Michael Adams</cp:lastModifiedBy>
  <dcterms:created xsi:type="dcterms:W3CDTF">2025-09-18T15:00:35Z</dcterms:created>
  <dcterms:modified xsi:type="dcterms:W3CDTF">2025-09-18T16:43:53Z</dcterms:modified>
</cp:coreProperties>
</file>